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3.xml" ContentType="application/vnd.openxmlformats-officedocument.drawing+xml"/>
  <Override PartName="/xl/tables/table21.xml" ContentType="application/vnd.openxmlformats-officedocument.spreadsheetml.table+xml"/>
  <Override PartName="/xl/drawings/drawing4.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36.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graffij\Desktop\"/>
    </mc:Choice>
  </mc:AlternateContent>
  <xr:revisionPtr revIDLastSave="0" documentId="8_{922FB15F-0D60-44F8-B9B6-84B30D113011}" xr6:coauthVersionLast="47" xr6:coauthVersionMax="47" xr10:uidLastSave="{00000000-0000-0000-0000-000000000000}"/>
  <bookViews>
    <workbookView xWindow="25152" yWindow="60" windowWidth="19404" windowHeight="12444" tabRatio="918" firstSheet="3" activeTab="5" xr2:uid="{2663D207-96EE-4A5E-83C2-7ECBBC9F336C}"/>
  </bookViews>
  <sheets>
    <sheet name="Data Validations" sheetId="2" state="hidden" r:id="rId1"/>
    <sheet name="Conditional Formatting" sheetId="12" state="hidden" r:id="rId2"/>
    <sheet name="Lookups" sheetId="10" state="hidden" r:id="rId3"/>
    <sheet name="INSTRUCTIONS" sheetId="1" r:id="rId4"/>
    <sheet name="Basic Information" sheetId="3" r:id="rId5"/>
    <sheet name="Line List" sheetId="4" r:id="rId6"/>
    <sheet name="Outbreak Checklist" sheetId="5" r:id="rId7"/>
    <sheet name="iPHIS Outbreak Report" sheetId="14" state="hidden" r:id="rId8"/>
    <sheet name="Summary P1" sheetId="6" r:id="rId9"/>
    <sheet name="Summary P2" sheetId="7" r:id="rId10"/>
    <sheet name="Summary P3" sheetId="8" r:id="rId11"/>
    <sheet name="Summary P4" sheetId="9" r:id="rId12"/>
    <sheet name="Data Prep" sheetId="13" state="hidden" r:id="rId13"/>
  </sheets>
  <definedNames>
    <definedName name="Affected">'Basic Information'!$B$22</definedName>
    <definedName name="Area">'Basic Information'!$A$29:OFFSET('Basic Information'!$A$29,COUNTA('Basic Information'!$A$29:$A$51),,1)</definedName>
    <definedName name="Contact">'Basic Information'!$B$18</definedName>
    <definedName name="Control_Measures">'Summary P4'!$A$6</definedName>
    <definedName name="Declared">'Basic Information'!$B$9</definedName>
    <definedName name="EpiCurveDate">'Data Prep'!$A$4:OFFSET('Data Prep'!$A$4,COUNTA('Data Prep'!$A$4:$A$106),,1)</definedName>
    <definedName name="EpiCurveS1">'Data Prep'!$B$4:OFFSET('Data Prep'!$B$4,COUNTA('Data Prep'!$B$4:$B$106),,1)</definedName>
    <definedName name="EpiCurveS2">'Data Prep'!$C$4:OFFSET('Data Prep'!$C$4,COUNTA('Data Prep'!$C$4:$C$106),,1)</definedName>
    <definedName name="EpiCurveS3">'Data Prep'!$D$4:OFFSET('Data Prep'!$D$4,COUNTA('Data Prep'!$D$4:$D$106),,1)</definedName>
    <definedName name="EpiCurveS4">'Data Prep'!$E$4:OFFSET('Data Prep'!$E$4,COUNTA('Data Prep'!$E$4:$E$106),,1)</definedName>
    <definedName name="EpiCurveS5">'Data Prep'!$F$4:OFFSET('Data Prep'!$F$4,COUNTA('Data Prep'!$F$4:$F$106),,1)</definedName>
    <definedName name="EpiCurveS6">'Data Prep'!$G$4:OFFSET('Data Prep'!$G$4,COUNTA('Data Prep'!$G$4:$G$106),,1)</definedName>
    <definedName name="EpiCurveS7">'Data Prep'!$H$4:OFFSET('Data Prep'!$H$4,COUNTA('Data Prep'!$H$4:$H$106),,1)</definedName>
    <definedName name="EpiCurveS8">'Data Prep'!$I$4:OFFSET('Data Prep'!$I$4,COUNTA('Data Prep'!$I$4:$I$106),,1)</definedName>
    <definedName name="EpiCurveS9">'Data Prep'!$J$4:OFFSET('Data Prep'!$J$4,COUNTA('Data Prep'!$J$4:$J$106),,1)</definedName>
    <definedName name="Extension">'Basic Information'!$B$20</definedName>
    <definedName name="Institution">'Basic Information'!$B$16</definedName>
    <definedName name="Lead">'Basic Information'!$B$12</definedName>
    <definedName name="MaxDay0">Lookups!$F$22</definedName>
    <definedName name="MaxIsolation">Lookups!$G$22</definedName>
    <definedName name="MaxLDW">Lookups!$E$22</definedName>
    <definedName name="Name">'Basic Information'!$B$7</definedName>
    <definedName name="Number">'Basic Information'!$B$17</definedName>
    <definedName name="Organism">'Basic Information'!$B$14</definedName>
    <definedName name="Organism2">'Basic Information'!$C$14</definedName>
    <definedName name="Organism3">'Basic Information'!$D$14</definedName>
    <definedName name="Origin_Spread">'Summary P2'!$A$8</definedName>
    <definedName name="Outbreak_Summary">'Summary P1'!$A$21</definedName>
    <definedName name="Over">'Basic Information'!$B$11</definedName>
    <definedName name="Phone">'Basic Information'!$B$19</definedName>
    <definedName name="_xlnm.Print_Area" localSheetId="8">'Summary P1'!$A$1:$A$40</definedName>
    <definedName name="_xlnm.Print_Area" localSheetId="9">'Summary P2'!$A$1:$A$28</definedName>
    <definedName name="_xlnm.Print_Area" localSheetId="10">'Summary P3'!$A$1:$A$31</definedName>
    <definedName name="_xlnm.Print_Area" localSheetId="11">'Summary P4'!$A$1:$A$9</definedName>
    <definedName name="_xlnm.Print_Titles" localSheetId="5">'Line List'!$A:$B,'Line List'!$4:$4</definedName>
    <definedName name="Recommendations">'Summary P4'!$A$9</definedName>
    <definedName name="Reported">'Basic Information'!$B$8</definedName>
    <definedName name="Symptomology">'Summary P3'!$A$5</definedName>
    <definedName name="Total_Residents_Oth">Facility[Residents (Not vaccinated or unknown)]</definedName>
    <definedName name="Total_Residents_Vax">Facility[Residents (Vaccinated)]</definedName>
    <definedName name="Total_Staff_Oth">Facility[Staff (Not vaccinated / unknown)]</definedName>
    <definedName name="Total_Staff_Vax">Facility[Staff (Vaccinated)]</definedName>
    <definedName name="Updated">'Basic Information'!$B$5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7" l="1"/>
  <c r="A6" i="6" l="1"/>
  <c r="A7" i="6"/>
  <c r="AC36" i="13"/>
  <c r="C58" i="14"/>
  <c r="C28" i="1" s="1"/>
  <c r="G20" i="10"/>
  <c r="G19" i="10"/>
  <c r="G18" i="10"/>
  <c r="F20" i="10"/>
  <c r="F19" i="10"/>
  <c r="F18" i="10"/>
  <c r="E18" i="10"/>
  <c r="E20" i="10"/>
  <c r="E19" i="10"/>
  <c r="BF5" i="4"/>
  <c r="BF6" i="4"/>
  <c r="BF7" i="4"/>
  <c r="BF8" i="4"/>
  <c r="BF9" i="4"/>
  <c r="BF10" i="4"/>
  <c r="BF11" i="4"/>
  <c r="BF12" i="4"/>
  <c r="BF13" i="4"/>
  <c r="BF14" i="4"/>
  <c r="BF15" i="4"/>
  <c r="BF16" i="4"/>
  <c r="BF17" i="4"/>
  <c r="BF18" i="4"/>
  <c r="BF19" i="4"/>
  <c r="BF20" i="4"/>
  <c r="BF21" i="4"/>
  <c r="BF22" i="4"/>
  <c r="BF23" i="4"/>
  <c r="BF24" i="4"/>
  <c r="BF25" i="4"/>
  <c r="BF26" i="4"/>
  <c r="BF27" i="4"/>
  <c r="BF28" i="4"/>
  <c r="BF29" i="4"/>
  <c r="BF30" i="4"/>
  <c r="BF31" i="4"/>
  <c r="BF32" i="4"/>
  <c r="BF33" i="4"/>
  <c r="BF34" i="4"/>
  <c r="BF35" i="4"/>
  <c r="BF36" i="4"/>
  <c r="BF37" i="4"/>
  <c r="BF38" i="4"/>
  <c r="BF39" i="4"/>
  <c r="BF40" i="4"/>
  <c r="BF41" i="4"/>
  <c r="BF42" i="4"/>
  <c r="BF43" i="4"/>
  <c r="BF44" i="4"/>
  <c r="BF45" i="4"/>
  <c r="BF46" i="4"/>
  <c r="BF47" i="4"/>
  <c r="BF48" i="4"/>
  <c r="BF49" i="4"/>
  <c r="BF50" i="4"/>
  <c r="BF51" i="4"/>
  <c r="BF52" i="4"/>
  <c r="BF53" i="4"/>
  <c r="BF54" i="4"/>
  <c r="BF55" i="4"/>
  <c r="BF56" i="4"/>
  <c r="BF57" i="4"/>
  <c r="BF58" i="4"/>
  <c r="BF59" i="4"/>
  <c r="BF60" i="4"/>
  <c r="BF61" i="4"/>
  <c r="BF62" i="4"/>
  <c r="BF63" i="4"/>
  <c r="BF64" i="4"/>
  <c r="BF65" i="4"/>
  <c r="BF66" i="4"/>
  <c r="BF67" i="4"/>
  <c r="BF68" i="4"/>
  <c r="BF69" i="4"/>
  <c r="BF70" i="4"/>
  <c r="BF71" i="4"/>
  <c r="BF72" i="4"/>
  <c r="BF73" i="4"/>
  <c r="BF74" i="4"/>
  <c r="BF75" i="4"/>
  <c r="BF76" i="4"/>
  <c r="BF77" i="4"/>
  <c r="BF78" i="4"/>
  <c r="BF79" i="4"/>
  <c r="BF80" i="4"/>
  <c r="BF81" i="4"/>
  <c r="BF82" i="4"/>
  <c r="BF83" i="4"/>
  <c r="BF84" i="4"/>
  <c r="BF85" i="4"/>
  <c r="BF86" i="4"/>
  <c r="BF87" i="4"/>
  <c r="BF88" i="4"/>
  <c r="BF89" i="4"/>
  <c r="BF90" i="4"/>
  <c r="BF91" i="4"/>
  <c r="BF92" i="4"/>
  <c r="BF93" i="4"/>
  <c r="BF94" i="4"/>
  <c r="BF95" i="4"/>
  <c r="BF96" i="4"/>
  <c r="BF97" i="4"/>
  <c r="BF98" i="4"/>
  <c r="BF99" i="4"/>
  <c r="BF100" i="4"/>
  <c r="BF101" i="4"/>
  <c r="BF102" i="4"/>
  <c r="BF103" i="4"/>
  <c r="BF104" i="4"/>
  <c r="BF105" i="4"/>
  <c r="BF106" i="4"/>
  <c r="BF107" i="4"/>
  <c r="BF108" i="4"/>
  <c r="BF109" i="4"/>
  <c r="BF110" i="4"/>
  <c r="BF111" i="4"/>
  <c r="BF112" i="4"/>
  <c r="BF113" i="4"/>
  <c r="BF114" i="4"/>
  <c r="BF115" i="4"/>
  <c r="BF116" i="4"/>
  <c r="BF117" i="4"/>
  <c r="BF118" i="4"/>
  <c r="BF119" i="4"/>
  <c r="BF120" i="4"/>
  <c r="BF121" i="4"/>
  <c r="BF122" i="4"/>
  <c r="BF123" i="4"/>
  <c r="BF124" i="4"/>
  <c r="BF125" i="4"/>
  <c r="BF126" i="4"/>
  <c r="BF127" i="4"/>
  <c r="BF128" i="4"/>
  <c r="BF129" i="4"/>
  <c r="BF130" i="4"/>
  <c r="BF131" i="4"/>
  <c r="BF132" i="4"/>
  <c r="BF133" i="4"/>
  <c r="BF134" i="4"/>
  <c r="BF135" i="4"/>
  <c r="BF136" i="4"/>
  <c r="BF137" i="4"/>
  <c r="BF138" i="4"/>
  <c r="BF139" i="4"/>
  <c r="BF140" i="4"/>
  <c r="BF141" i="4"/>
  <c r="BF142" i="4"/>
  <c r="BF143" i="4"/>
  <c r="BF144" i="4"/>
  <c r="BF145" i="4"/>
  <c r="BF146" i="4"/>
  <c r="BF147" i="4"/>
  <c r="BF148" i="4"/>
  <c r="BF149" i="4"/>
  <c r="BF150" i="4"/>
  <c r="BF151" i="4"/>
  <c r="BF152" i="4"/>
  <c r="BF153" i="4"/>
  <c r="BF154" i="4"/>
  <c r="BF155" i="4"/>
  <c r="BF156" i="4"/>
  <c r="BF157" i="4"/>
  <c r="BF158" i="4"/>
  <c r="BF159" i="4"/>
  <c r="BF160" i="4"/>
  <c r="BF161" i="4"/>
  <c r="BF162" i="4"/>
  <c r="BF163" i="4"/>
  <c r="BF164" i="4"/>
  <c r="BF165" i="4"/>
  <c r="BF166" i="4"/>
  <c r="BF167" i="4"/>
  <c r="BF168" i="4"/>
  <c r="BF169" i="4"/>
  <c r="BF170" i="4"/>
  <c r="BF171" i="4"/>
  <c r="BF172" i="4"/>
  <c r="BF173" i="4"/>
  <c r="BF174" i="4"/>
  <c r="BF175" i="4"/>
  <c r="BF176" i="4"/>
  <c r="BF177" i="4"/>
  <c r="BF178" i="4"/>
  <c r="BF179" i="4"/>
  <c r="BF180" i="4"/>
  <c r="BF181" i="4"/>
  <c r="BF182" i="4"/>
  <c r="BF183" i="4"/>
  <c r="BF184" i="4"/>
  <c r="BF185" i="4"/>
  <c r="BF186" i="4"/>
  <c r="BF187" i="4"/>
  <c r="BF188" i="4"/>
  <c r="BF189" i="4"/>
  <c r="BF190" i="4"/>
  <c r="BF191" i="4"/>
  <c r="BF192" i="4"/>
  <c r="BF193" i="4"/>
  <c r="BF194" i="4"/>
  <c r="BF195" i="4"/>
  <c r="BF196" i="4"/>
  <c r="BF197" i="4"/>
  <c r="BF198" i="4"/>
  <c r="BF199" i="4"/>
  <c r="BF200" i="4"/>
  <c r="BF201" i="4"/>
  <c r="BF202" i="4"/>
  <c r="BF203" i="4"/>
  <c r="BF204" i="4"/>
  <c r="BF205" i="4"/>
  <c r="BF206" i="4"/>
  <c r="BF207" i="4"/>
  <c r="BF208" i="4"/>
  <c r="BF209" i="4"/>
  <c r="BF210" i="4"/>
  <c r="BF211" i="4"/>
  <c r="BF212" i="4"/>
  <c r="BF213" i="4"/>
  <c r="BF214" i="4"/>
  <c r="BF215" i="4"/>
  <c r="BF216" i="4"/>
  <c r="BF217" i="4"/>
  <c r="BF218" i="4"/>
  <c r="BF219" i="4"/>
  <c r="BF220" i="4"/>
  <c r="BF221" i="4"/>
  <c r="BF222" i="4"/>
  <c r="BF223" i="4"/>
  <c r="BF224" i="4"/>
  <c r="BF225" i="4"/>
  <c r="BF226" i="4"/>
  <c r="BF227" i="4"/>
  <c r="BF228" i="4"/>
  <c r="BF229" i="4"/>
  <c r="BF230" i="4"/>
  <c r="BF231" i="4"/>
  <c r="BF232" i="4"/>
  <c r="BF233" i="4"/>
  <c r="BF234" i="4"/>
  <c r="BF235" i="4"/>
  <c r="BF236" i="4"/>
  <c r="BF237" i="4"/>
  <c r="BF238" i="4"/>
  <c r="BF239" i="4"/>
  <c r="BF240" i="4"/>
  <c r="BF241" i="4"/>
  <c r="BF242" i="4"/>
  <c r="BF243" i="4"/>
  <c r="BF244" i="4"/>
  <c r="BF245" i="4"/>
  <c r="BF246" i="4"/>
  <c r="BF247" i="4"/>
  <c r="BF248" i="4"/>
  <c r="BF249" i="4"/>
  <c r="BF250" i="4"/>
  <c r="BF251" i="4"/>
  <c r="BF252" i="4"/>
  <c r="BF253" i="4"/>
  <c r="BF254" i="4"/>
  <c r="BF255" i="4"/>
  <c r="BF256" i="4"/>
  <c r="BF257" i="4"/>
  <c r="BF258" i="4"/>
  <c r="BF259" i="4"/>
  <c r="BF260" i="4"/>
  <c r="BF261" i="4"/>
  <c r="BF262" i="4"/>
  <c r="BF263" i="4"/>
  <c r="BF264" i="4"/>
  <c r="BF265" i="4"/>
  <c r="BF266" i="4"/>
  <c r="BF267" i="4"/>
  <c r="BF268" i="4"/>
  <c r="BF269" i="4"/>
  <c r="BF270" i="4"/>
  <c r="BF271" i="4"/>
  <c r="BF272" i="4"/>
  <c r="BF273" i="4"/>
  <c r="BF274" i="4"/>
  <c r="BF275" i="4"/>
  <c r="BF276" i="4"/>
  <c r="BF277" i="4"/>
  <c r="BF278" i="4"/>
  <c r="BF279" i="4"/>
  <c r="BF280" i="4"/>
  <c r="BF281" i="4"/>
  <c r="BF282" i="4"/>
  <c r="BF283" i="4"/>
  <c r="BF284" i="4"/>
  <c r="BF285" i="4"/>
  <c r="BF286" i="4"/>
  <c r="BF287" i="4"/>
  <c r="BF288" i="4"/>
  <c r="BF289" i="4"/>
  <c r="BF290" i="4"/>
  <c r="BF291" i="4"/>
  <c r="BF292" i="4"/>
  <c r="BF293" i="4"/>
  <c r="BF294" i="4"/>
  <c r="BF295" i="4"/>
  <c r="BF296" i="4"/>
  <c r="BF297" i="4"/>
  <c r="BF298" i="4"/>
  <c r="BF299" i="4"/>
  <c r="BF300" i="4"/>
  <c r="BF301" i="4"/>
  <c r="BF302" i="4"/>
  <c r="BF303" i="4"/>
  <c r="BF304" i="4"/>
  <c r="BF305" i="4"/>
  <c r="BF306" i="4"/>
  <c r="BF307" i="4"/>
  <c r="BF308" i="4"/>
  <c r="BF309" i="4"/>
  <c r="BF310" i="4"/>
  <c r="BF311" i="4"/>
  <c r="BF312" i="4"/>
  <c r="BF313" i="4"/>
  <c r="BF314" i="4"/>
  <c r="BF315" i="4"/>
  <c r="BF316" i="4"/>
  <c r="BF317" i="4"/>
  <c r="BF318" i="4"/>
  <c r="BF319" i="4"/>
  <c r="BF320" i="4"/>
  <c r="BF321" i="4"/>
  <c r="BF322" i="4"/>
  <c r="BF323" i="4"/>
  <c r="BF324" i="4"/>
  <c r="BF325" i="4"/>
  <c r="BF326" i="4"/>
  <c r="BF327" i="4"/>
  <c r="BF328" i="4"/>
  <c r="BF329" i="4"/>
  <c r="BF330" i="4"/>
  <c r="BF331" i="4"/>
  <c r="BF332" i="4"/>
  <c r="BF333" i="4"/>
  <c r="BF334" i="4"/>
  <c r="BF335" i="4"/>
  <c r="BF336" i="4"/>
  <c r="BF337" i="4"/>
  <c r="BF338" i="4"/>
  <c r="BF339" i="4"/>
  <c r="BF340" i="4"/>
  <c r="BF341" i="4"/>
  <c r="BF342" i="4"/>
  <c r="BF343" i="4"/>
  <c r="BF344" i="4"/>
  <c r="BF345" i="4"/>
  <c r="BF346" i="4"/>
  <c r="BF347" i="4"/>
  <c r="BF348" i="4"/>
  <c r="BF349" i="4"/>
  <c r="BF350" i="4"/>
  <c r="BF351" i="4"/>
  <c r="BF352" i="4"/>
  <c r="BF353" i="4"/>
  <c r="BF354" i="4"/>
  <c r="BF355" i="4"/>
  <c r="BF356" i="4"/>
  <c r="BF357" i="4"/>
  <c r="BF358" i="4"/>
  <c r="BF359" i="4"/>
  <c r="BF360" i="4"/>
  <c r="BF361" i="4"/>
  <c r="BF362" i="4"/>
  <c r="BF363" i="4"/>
  <c r="BF364" i="4"/>
  <c r="BF365" i="4"/>
  <c r="BF366" i="4"/>
  <c r="BF367" i="4"/>
  <c r="BF368" i="4"/>
  <c r="BF369" i="4"/>
  <c r="BF370" i="4"/>
  <c r="BF371" i="4"/>
  <c r="BF372" i="4"/>
  <c r="BF373" i="4"/>
  <c r="BF374" i="4"/>
  <c r="BF375" i="4"/>
  <c r="BF376" i="4"/>
  <c r="BF377" i="4"/>
  <c r="BF378" i="4"/>
  <c r="BF379" i="4"/>
  <c r="BF380" i="4"/>
  <c r="BF381" i="4"/>
  <c r="BF382" i="4"/>
  <c r="BF383" i="4"/>
  <c r="BF384" i="4"/>
  <c r="BF385" i="4"/>
  <c r="BF386" i="4"/>
  <c r="BF387" i="4"/>
  <c r="BF388" i="4"/>
  <c r="BF389" i="4"/>
  <c r="BF390" i="4"/>
  <c r="BF391" i="4"/>
  <c r="BF392" i="4"/>
  <c r="BF393" i="4"/>
  <c r="BF394" i="4"/>
  <c r="BF395" i="4"/>
  <c r="BF396" i="4"/>
  <c r="BF397" i="4"/>
  <c r="BF398" i="4"/>
  <c r="BF399" i="4"/>
  <c r="BF400" i="4"/>
  <c r="BF401" i="4"/>
  <c r="BF402" i="4"/>
  <c r="BF403" i="4"/>
  <c r="BF404" i="4"/>
  <c r="BE5" i="4"/>
  <c r="BE6" i="4"/>
  <c r="BE7" i="4"/>
  <c r="BE8" i="4"/>
  <c r="BE9" i="4"/>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E38" i="4"/>
  <c r="BE39" i="4"/>
  <c r="BE40" i="4"/>
  <c r="BE41" i="4"/>
  <c r="BE42" i="4"/>
  <c r="BE43" i="4"/>
  <c r="BE44" i="4"/>
  <c r="BE45" i="4"/>
  <c r="BE46" i="4"/>
  <c r="BE47" i="4"/>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BE166" i="4"/>
  <c r="BE167" i="4"/>
  <c r="BE168" i="4"/>
  <c r="BE169" i="4"/>
  <c r="BE170" i="4"/>
  <c r="BE171" i="4"/>
  <c r="BE172" i="4"/>
  <c r="BE173" i="4"/>
  <c r="BE174" i="4"/>
  <c r="BE175" i="4"/>
  <c r="BE176" i="4"/>
  <c r="BE177" i="4"/>
  <c r="BE178" i="4"/>
  <c r="BE179" i="4"/>
  <c r="BE180" i="4"/>
  <c r="BE181" i="4"/>
  <c r="BE182" i="4"/>
  <c r="BE183" i="4"/>
  <c r="BE184" i="4"/>
  <c r="BE185" i="4"/>
  <c r="BE186" i="4"/>
  <c r="BE187" i="4"/>
  <c r="BE188" i="4"/>
  <c r="BE189" i="4"/>
  <c r="BE190" i="4"/>
  <c r="BE191" i="4"/>
  <c r="BE192" i="4"/>
  <c r="BE193" i="4"/>
  <c r="BE194" i="4"/>
  <c r="BE195" i="4"/>
  <c r="BE196" i="4"/>
  <c r="BE197" i="4"/>
  <c r="BE198" i="4"/>
  <c r="BE199" i="4"/>
  <c r="BE200" i="4"/>
  <c r="BE201" i="4"/>
  <c r="BE202" i="4"/>
  <c r="BE203" i="4"/>
  <c r="BE204" i="4"/>
  <c r="BE205" i="4"/>
  <c r="BE206" i="4"/>
  <c r="BE207" i="4"/>
  <c r="BE208" i="4"/>
  <c r="BE209" i="4"/>
  <c r="BE210" i="4"/>
  <c r="BE211" i="4"/>
  <c r="BE212" i="4"/>
  <c r="BE213" i="4"/>
  <c r="BE214" i="4"/>
  <c r="BE215" i="4"/>
  <c r="BE216" i="4"/>
  <c r="BE217" i="4"/>
  <c r="BE218" i="4"/>
  <c r="BE219" i="4"/>
  <c r="BE220" i="4"/>
  <c r="BE221" i="4"/>
  <c r="BE222" i="4"/>
  <c r="BE223" i="4"/>
  <c r="BE224" i="4"/>
  <c r="BE225" i="4"/>
  <c r="BE226" i="4"/>
  <c r="BE227" i="4"/>
  <c r="BE228" i="4"/>
  <c r="BE229" i="4"/>
  <c r="BE230" i="4"/>
  <c r="BE231" i="4"/>
  <c r="BE232" i="4"/>
  <c r="BE233" i="4"/>
  <c r="BE234" i="4"/>
  <c r="BE235" i="4"/>
  <c r="BE236" i="4"/>
  <c r="BE237" i="4"/>
  <c r="BE238" i="4"/>
  <c r="BE239" i="4"/>
  <c r="BE240" i="4"/>
  <c r="BE241" i="4"/>
  <c r="BE242" i="4"/>
  <c r="BE243" i="4"/>
  <c r="BE244" i="4"/>
  <c r="BE245" i="4"/>
  <c r="BE246" i="4"/>
  <c r="BE247" i="4"/>
  <c r="BE248" i="4"/>
  <c r="BE249" i="4"/>
  <c r="BE250" i="4"/>
  <c r="BE251" i="4"/>
  <c r="BE252" i="4"/>
  <c r="BE253" i="4"/>
  <c r="BE254" i="4"/>
  <c r="BE255" i="4"/>
  <c r="BE256" i="4"/>
  <c r="BE257" i="4"/>
  <c r="BE258" i="4"/>
  <c r="BE259" i="4"/>
  <c r="BE260" i="4"/>
  <c r="BE261" i="4"/>
  <c r="BE262" i="4"/>
  <c r="BE263" i="4"/>
  <c r="BE264" i="4"/>
  <c r="BE265" i="4"/>
  <c r="BE266" i="4"/>
  <c r="BE267" i="4"/>
  <c r="BE268" i="4"/>
  <c r="BE269" i="4"/>
  <c r="BE270" i="4"/>
  <c r="BE271" i="4"/>
  <c r="BE272" i="4"/>
  <c r="BE273" i="4"/>
  <c r="BE274" i="4"/>
  <c r="BE275" i="4"/>
  <c r="BE276" i="4"/>
  <c r="BE277" i="4"/>
  <c r="BE278" i="4"/>
  <c r="BE279" i="4"/>
  <c r="BE280" i="4"/>
  <c r="BE281" i="4"/>
  <c r="BE282" i="4"/>
  <c r="BE283" i="4"/>
  <c r="BE284" i="4"/>
  <c r="BE285" i="4"/>
  <c r="BE286" i="4"/>
  <c r="BE287" i="4"/>
  <c r="BE288" i="4"/>
  <c r="BE289" i="4"/>
  <c r="BE290" i="4"/>
  <c r="BE291" i="4"/>
  <c r="BE292" i="4"/>
  <c r="BE293" i="4"/>
  <c r="BE294" i="4"/>
  <c r="BE295" i="4"/>
  <c r="BE296" i="4"/>
  <c r="BE297" i="4"/>
  <c r="BE298" i="4"/>
  <c r="BE299" i="4"/>
  <c r="BE300" i="4"/>
  <c r="BE301" i="4"/>
  <c r="BE302" i="4"/>
  <c r="BE303" i="4"/>
  <c r="BE304" i="4"/>
  <c r="BE305" i="4"/>
  <c r="BE306" i="4"/>
  <c r="BE307" i="4"/>
  <c r="BE308" i="4"/>
  <c r="BE309" i="4"/>
  <c r="BE310" i="4"/>
  <c r="BE311" i="4"/>
  <c r="BE312" i="4"/>
  <c r="BE313" i="4"/>
  <c r="BE314" i="4"/>
  <c r="BE315" i="4"/>
  <c r="BE316" i="4"/>
  <c r="BE317" i="4"/>
  <c r="BE318" i="4"/>
  <c r="BE319" i="4"/>
  <c r="BE320" i="4"/>
  <c r="BE321" i="4"/>
  <c r="BE322" i="4"/>
  <c r="BE323" i="4"/>
  <c r="BE324" i="4"/>
  <c r="BE325" i="4"/>
  <c r="BE326" i="4"/>
  <c r="BE327" i="4"/>
  <c r="BE328" i="4"/>
  <c r="BE329" i="4"/>
  <c r="BE330" i="4"/>
  <c r="BE331" i="4"/>
  <c r="BE332" i="4"/>
  <c r="BE333" i="4"/>
  <c r="BE334" i="4"/>
  <c r="BE335" i="4"/>
  <c r="BE336" i="4"/>
  <c r="BE337" i="4"/>
  <c r="BE338" i="4"/>
  <c r="BE339" i="4"/>
  <c r="BE340" i="4"/>
  <c r="BE341" i="4"/>
  <c r="BE342" i="4"/>
  <c r="BE343" i="4"/>
  <c r="BE344" i="4"/>
  <c r="BE345" i="4"/>
  <c r="BE346" i="4"/>
  <c r="BE347" i="4"/>
  <c r="BE348" i="4"/>
  <c r="BE349" i="4"/>
  <c r="BE350" i="4"/>
  <c r="BE351" i="4"/>
  <c r="BE352" i="4"/>
  <c r="BE353" i="4"/>
  <c r="BE354" i="4"/>
  <c r="BE355" i="4"/>
  <c r="BE356" i="4"/>
  <c r="BE357" i="4"/>
  <c r="BE358" i="4"/>
  <c r="BE359" i="4"/>
  <c r="BE360" i="4"/>
  <c r="BE361" i="4"/>
  <c r="BE362" i="4"/>
  <c r="BE363" i="4"/>
  <c r="BE364" i="4"/>
  <c r="BE365" i="4"/>
  <c r="BE366" i="4"/>
  <c r="BE367" i="4"/>
  <c r="BE368" i="4"/>
  <c r="BE369" i="4"/>
  <c r="BE370" i="4"/>
  <c r="BE371" i="4"/>
  <c r="BE372" i="4"/>
  <c r="BE373" i="4"/>
  <c r="BE374" i="4"/>
  <c r="BE375" i="4"/>
  <c r="BE376" i="4"/>
  <c r="BE377" i="4"/>
  <c r="BE378" i="4"/>
  <c r="BE379" i="4"/>
  <c r="BE380" i="4"/>
  <c r="BE381" i="4"/>
  <c r="BE382" i="4"/>
  <c r="BE383" i="4"/>
  <c r="BE384" i="4"/>
  <c r="BE385" i="4"/>
  <c r="BE386" i="4"/>
  <c r="BE387" i="4"/>
  <c r="BE388" i="4"/>
  <c r="BE389" i="4"/>
  <c r="BE390" i="4"/>
  <c r="BE391" i="4"/>
  <c r="BE392" i="4"/>
  <c r="BE393" i="4"/>
  <c r="BE394" i="4"/>
  <c r="BE395" i="4"/>
  <c r="BE396" i="4"/>
  <c r="BE397" i="4"/>
  <c r="BE398" i="4"/>
  <c r="BE399" i="4"/>
  <c r="BE400" i="4"/>
  <c r="BE401" i="4"/>
  <c r="BE402" i="4"/>
  <c r="BE403" i="4"/>
  <c r="BE404" i="4"/>
  <c r="BC5" i="4"/>
  <c r="BC6" i="4"/>
  <c r="BC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90" i="4"/>
  <c r="BC91" i="4"/>
  <c r="BC92" i="4"/>
  <c r="BC93" i="4"/>
  <c r="BC94" i="4"/>
  <c r="BC95"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40" i="4"/>
  <c r="BC141" i="4"/>
  <c r="BC142" i="4"/>
  <c r="BC143" i="4"/>
  <c r="BC144" i="4"/>
  <c r="BC145" i="4"/>
  <c r="BC146" i="4"/>
  <c r="BC147" i="4"/>
  <c r="BC148" i="4"/>
  <c r="BC149" i="4"/>
  <c r="BC150" i="4"/>
  <c r="BC151" i="4"/>
  <c r="BC152" i="4"/>
  <c r="BC153" i="4"/>
  <c r="BC154" i="4"/>
  <c r="BC155" i="4"/>
  <c r="BC156" i="4"/>
  <c r="BC157" i="4"/>
  <c r="BC158" i="4"/>
  <c r="BC159" i="4"/>
  <c r="BC160" i="4"/>
  <c r="BC161" i="4"/>
  <c r="BC162" i="4"/>
  <c r="BC163" i="4"/>
  <c r="BC164" i="4"/>
  <c r="BC165" i="4"/>
  <c r="BC166" i="4"/>
  <c r="BC167" i="4"/>
  <c r="BC168" i="4"/>
  <c r="BC169" i="4"/>
  <c r="BC170" i="4"/>
  <c r="BC171" i="4"/>
  <c r="BC172" i="4"/>
  <c r="BC173" i="4"/>
  <c r="BC174" i="4"/>
  <c r="BC175" i="4"/>
  <c r="BC176" i="4"/>
  <c r="BC177" i="4"/>
  <c r="BC178" i="4"/>
  <c r="BC179" i="4"/>
  <c r="BC180" i="4"/>
  <c r="BC181" i="4"/>
  <c r="BC182" i="4"/>
  <c r="BC183" i="4"/>
  <c r="BC184" i="4"/>
  <c r="BC185" i="4"/>
  <c r="BC186" i="4"/>
  <c r="BC187" i="4"/>
  <c r="BC188" i="4"/>
  <c r="BC189" i="4"/>
  <c r="BC190" i="4"/>
  <c r="BC191" i="4"/>
  <c r="BC192" i="4"/>
  <c r="BC193" i="4"/>
  <c r="BC194" i="4"/>
  <c r="BC195" i="4"/>
  <c r="BC196" i="4"/>
  <c r="BC197" i="4"/>
  <c r="BC198" i="4"/>
  <c r="BC199" i="4"/>
  <c r="BC200" i="4"/>
  <c r="BC201" i="4"/>
  <c r="BC202" i="4"/>
  <c r="BC203" i="4"/>
  <c r="BC204" i="4"/>
  <c r="BC205" i="4"/>
  <c r="BC206" i="4"/>
  <c r="BC207" i="4"/>
  <c r="BC208" i="4"/>
  <c r="BC209" i="4"/>
  <c r="BC210" i="4"/>
  <c r="BC211" i="4"/>
  <c r="BC212" i="4"/>
  <c r="BC213" i="4"/>
  <c r="BC214" i="4"/>
  <c r="BC215" i="4"/>
  <c r="BC216" i="4"/>
  <c r="BC217" i="4"/>
  <c r="BC218" i="4"/>
  <c r="BC219" i="4"/>
  <c r="BC220" i="4"/>
  <c r="BC221" i="4"/>
  <c r="BC222" i="4"/>
  <c r="BC223" i="4"/>
  <c r="BC224" i="4"/>
  <c r="BC225" i="4"/>
  <c r="BC226" i="4"/>
  <c r="BC227" i="4"/>
  <c r="BC228" i="4"/>
  <c r="BC229" i="4"/>
  <c r="BC230" i="4"/>
  <c r="BC231" i="4"/>
  <c r="BC232" i="4"/>
  <c r="BC233" i="4"/>
  <c r="BC234" i="4"/>
  <c r="BC235" i="4"/>
  <c r="BC236" i="4"/>
  <c r="BC237" i="4"/>
  <c r="BC238" i="4"/>
  <c r="BC239" i="4"/>
  <c r="BC240" i="4"/>
  <c r="BC241" i="4"/>
  <c r="BC242" i="4"/>
  <c r="BC243" i="4"/>
  <c r="BC244" i="4"/>
  <c r="BC245" i="4"/>
  <c r="BC246" i="4"/>
  <c r="BC247" i="4"/>
  <c r="BC248" i="4"/>
  <c r="BC249" i="4"/>
  <c r="BC250" i="4"/>
  <c r="BC251" i="4"/>
  <c r="BC252" i="4"/>
  <c r="BC253" i="4"/>
  <c r="BC254" i="4"/>
  <c r="BC255" i="4"/>
  <c r="BC256" i="4"/>
  <c r="BC257" i="4"/>
  <c r="BC258" i="4"/>
  <c r="BC259" i="4"/>
  <c r="BC260" i="4"/>
  <c r="BC261" i="4"/>
  <c r="BC262" i="4"/>
  <c r="BC263" i="4"/>
  <c r="BC264" i="4"/>
  <c r="BC265" i="4"/>
  <c r="BC266" i="4"/>
  <c r="BC267" i="4"/>
  <c r="BC268" i="4"/>
  <c r="BC269" i="4"/>
  <c r="BC270" i="4"/>
  <c r="BC271" i="4"/>
  <c r="BC272" i="4"/>
  <c r="BC273" i="4"/>
  <c r="BC274" i="4"/>
  <c r="BC275" i="4"/>
  <c r="BC276" i="4"/>
  <c r="BC277" i="4"/>
  <c r="BC278" i="4"/>
  <c r="BC279" i="4"/>
  <c r="BC280" i="4"/>
  <c r="BC281" i="4"/>
  <c r="BC282" i="4"/>
  <c r="BC283" i="4"/>
  <c r="BC284" i="4"/>
  <c r="BC285" i="4"/>
  <c r="BC286" i="4"/>
  <c r="BC287" i="4"/>
  <c r="BC288" i="4"/>
  <c r="BC289" i="4"/>
  <c r="BC290" i="4"/>
  <c r="BC291" i="4"/>
  <c r="BC292" i="4"/>
  <c r="BC293" i="4"/>
  <c r="BC294" i="4"/>
  <c r="BC295" i="4"/>
  <c r="BC296" i="4"/>
  <c r="BC297" i="4"/>
  <c r="BC298" i="4"/>
  <c r="BC299" i="4"/>
  <c r="BC300" i="4"/>
  <c r="BC301" i="4"/>
  <c r="BC302" i="4"/>
  <c r="BC303" i="4"/>
  <c r="BC304" i="4"/>
  <c r="BC305" i="4"/>
  <c r="BC306" i="4"/>
  <c r="BC307" i="4"/>
  <c r="BC308" i="4"/>
  <c r="BC309" i="4"/>
  <c r="BC310" i="4"/>
  <c r="BC311" i="4"/>
  <c r="BC312" i="4"/>
  <c r="BC313" i="4"/>
  <c r="BC314" i="4"/>
  <c r="BC315" i="4"/>
  <c r="BC316" i="4"/>
  <c r="BC317" i="4"/>
  <c r="BC318" i="4"/>
  <c r="BC319" i="4"/>
  <c r="BC320" i="4"/>
  <c r="BC321" i="4"/>
  <c r="BC322" i="4"/>
  <c r="BC323" i="4"/>
  <c r="BC324" i="4"/>
  <c r="BC325" i="4"/>
  <c r="BC326" i="4"/>
  <c r="BC327" i="4"/>
  <c r="BC328" i="4"/>
  <c r="BC329" i="4"/>
  <c r="BC330" i="4"/>
  <c r="BC331" i="4"/>
  <c r="BC332" i="4"/>
  <c r="BC333" i="4"/>
  <c r="BC334" i="4"/>
  <c r="BC335" i="4"/>
  <c r="BC336" i="4"/>
  <c r="BC337" i="4"/>
  <c r="BC338" i="4"/>
  <c r="BC339" i="4"/>
  <c r="BC340" i="4"/>
  <c r="BC341" i="4"/>
  <c r="BC342" i="4"/>
  <c r="BC343" i="4"/>
  <c r="BC344" i="4"/>
  <c r="BC345" i="4"/>
  <c r="BC346" i="4"/>
  <c r="BC347" i="4"/>
  <c r="BC348" i="4"/>
  <c r="BC349" i="4"/>
  <c r="BC350" i="4"/>
  <c r="BC351" i="4"/>
  <c r="BC352" i="4"/>
  <c r="BC353" i="4"/>
  <c r="BC354" i="4"/>
  <c r="BC355" i="4"/>
  <c r="BC356" i="4"/>
  <c r="BC357" i="4"/>
  <c r="BC358" i="4"/>
  <c r="BC359" i="4"/>
  <c r="BC360" i="4"/>
  <c r="BC361" i="4"/>
  <c r="BC362" i="4"/>
  <c r="BC363" i="4"/>
  <c r="BC364" i="4"/>
  <c r="BC365" i="4"/>
  <c r="BC366" i="4"/>
  <c r="BC367" i="4"/>
  <c r="BC368" i="4"/>
  <c r="BC369" i="4"/>
  <c r="BC370" i="4"/>
  <c r="BC371" i="4"/>
  <c r="BC372" i="4"/>
  <c r="BC373" i="4"/>
  <c r="BC374" i="4"/>
  <c r="BC375" i="4"/>
  <c r="BC376" i="4"/>
  <c r="BC377" i="4"/>
  <c r="BC378" i="4"/>
  <c r="BC379" i="4"/>
  <c r="BC380" i="4"/>
  <c r="BC381" i="4"/>
  <c r="BC382" i="4"/>
  <c r="BC383" i="4"/>
  <c r="BC384" i="4"/>
  <c r="BC385" i="4"/>
  <c r="BC386" i="4"/>
  <c r="BC387" i="4"/>
  <c r="BC388" i="4"/>
  <c r="BC389" i="4"/>
  <c r="BC390" i="4"/>
  <c r="BC391" i="4"/>
  <c r="BC392" i="4"/>
  <c r="BC393" i="4"/>
  <c r="BC394" i="4"/>
  <c r="BC395" i="4"/>
  <c r="BC396" i="4"/>
  <c r="BC397" i="4"/>
  <c r="BC398" i="4"/>
  <c r="BC399" i="4"/>
  <c r="BC400" i="4"/>
  <c r="BC401" i="4"/>
  <c r="BC402" i="4"/>
  <c r="BC403" i="4"/>
  <c r="BC404" i="4"/>
  <c r="BD5" i="4"/>
  <c r="BD6" i="4"/>
  <c r="BD7" i="4"/>
  <c r="BD8" i="4"/>
  <c r="BD9" i="4"/>
  <c r="BD10" i="4"/>
  <c r="BD11" i="4"/>
  <c r="BD12" i="4"/>
  <c r="BD13" i="4"/>
  <c r="BD14" i="4"/>
  <c r="BD15" i="4"/>
  <c r="BD16" i="4"/>
  <c r="BD17" i="4"/>
  <c r="BD18" i="4"/>
  <c r="BD19" i="4"/>
  <c r="BD20" i="4"/>
  <c r="BD21" i="4"/>
  <c r="BD22" i="4"/>
  <c r="BD23" i="4"/>
  <c r="BD24" i="4"/>
  <c r="BD25" i="4"/>
  <c r="BD26" i="4"/>
  <c r="BD27" i="4"/>
  <c r="BD28" i="4"/>
  <c r="BD29" i="4"/>
  <c r="BD30" i="4"/>
  <c r="BD31" i="4"/>
  <c r="BD32" i="4"/>
  <c r="BD33" i="4"/>
  <c r="BD34" i="4"/>
  <c r="BD35" i="4"/>
  <c r="BD36" i="4"/>
  <c r="BD37" i="4"/>
  <c r="BD38" i="4"/>
  <c r="BD39" i="4"/>
  <c r="BD40" i="4"/>
  <c r="BD41" i="4"/>
  <c r="BD42" i="4"/>
  <c r="BD43" i="4"/>
  <c r="BD44" i="4"/>
  <c r="BD45" i="4"/>
  <c r="BD46" i="4"/>
  <c r="BD47" i="4"/>
  <c r="BD48" i="4"/>
  <c r="BD49" i="4"/>
  <c r="BD50" i="4"/>
  <c r="BD51" i="4"/>
  <c r="BD52" i="4"/>
  <c r="BD53" i="4"/>
  <c r="BD54" i="4"/>
  <c r="BD55" i="4"/>
  <c r="BD56" i="4"/>
  <c r="BD57" i="4"/>
  <c r="BD58" i="4"/>
  <c r="BD59" i="4"/>
  <c r="BD60" i="4"/>
  <c r="BD61" i="4"/>
  <c r="BD62" i="4"/>
  <c r="BD63" i="4"/>
  <c r="BD64" i="4"/>
  <c r="BD65" i="4"/>
  <c r="BD66" i="4"/>
  <c r="BD67" i="4"/>
  <c r="BD68" i="4"/>
  <c r="BD69" i="4"/>
  <c r="BD70" i="4"/>
  <c r="BD71" i="4"/>
  <c r="BD72" i="4"/>
  <c r="BD73" i="4"/>
  <c r="BD74" i="4"/>
  <c r="BD75" i="4"/>
  <c r="BD76" i="4"/>
  <c r="BD77" i="4"/>
  <c r="BD78" i="4"/>
  <c r="BD79" i="4"/>
  <c r="BD80" i="4"/>
  <c r="BD81" i="4"/>
  <c r="BD82" i="4"/>
  <c r="BD83" i="4"/>
  <c r="BD84" i="4"/>
  <c r="BD85" i="4"/>
  <c r="BD86" i="4"/>
  <c r="BD87" i="4"/>
  <c r="BD88" i="4"/>
  <c r="BD89" i="4"/>
  <c r="BD90" i="4"/>
  <c r="BD91" i="4"/>
  <c r="BD92" i="4"/>
  <c r="BD93" i="4"/>
  <c r="BD94" i="4"/>
  <c r="BD95" i="4"/>
  <c r="BD96" i="4"/>
  <c r="BD97" i="4"/>
  <c r="BD98" i="4"/>
  <c r="BD99" i="4"/>
  <c r="BD100" i="4"/>
  <c r="BD101" i="4"/>
  <c r="BD102" i="4"/>
  <c r="BD103" i="4"/>
  <c r="BD104" i="4"/>
  <c r="BD105" i="4"/>
  <c r="BD106" i="4"/>
  <c r="BD107" i="4"/>
  <c r="BD108" i="4"/>
  <c r="BD109" i="4"/>
  <c r="BD110" i="4"/>
  <c r="BD111" i="4"/>
  <c r="BD112" i="4"/>
  <c r="BD113" i="4"/>
  <c r="BD114" i="4"/>
  <c r="BD115" i="4"/>
  <c r="BD116" i="4"/>
  <c r="BD117" i="4"/>
  <c r="BD118" i="4"/>
  <c r="BD119" i="4"/>
  <c r="BD120" i="4"/>
  <c r="BD121" i="4"/>
  <c r="BD122" i="4"/>
  <c r="BD123" i="4"/>
  <c r="BD124" i="4"/>
  <c r="BD125" i="4"/>
  <c r="BD126" i="4"/>
  <c r="BD127" i="4"/>
  <c r="BD128" i="4"/>
  <c r="BD129" i="4"/>
  <c r="BD130" i="4"/>
  <c r="BD131" i="4"/>
  <c r="BD132" i="4"/>
  <c r="BD133" i="4"/>
  <c r="BD134" i="4"/>
  <c r="BD135" i="4"/>
  <c r="BD136" i="4"/>
  <c r="BD137" i="4"/>
  <c r="BD138" i="4"/>
  <c r="BD139" i="4"/>
  <c r="BD140" i="4"/>
  <c r="BD141" i="4"/>
  <c r="BD142" i="4"/>
  <c r="BD143" i="4"/>
  <c r="BD144" i="4"/>
  <c r="BD145" i="4"/>
  <c r="BD146" i="4"/>
  <c r="BD147" i="4"/>
  <c r="BD148" i="4"/>
  <c r="BD149" i="4"/>
  <c r="BD150" i="4"/>
  <c r="BD151" i="4"/>
  <c r="BD152" i="4"/>
  <c r="BD153" i="4"/>
  <c r="BD154" i="4"/>
  <c r="BD155" i="4"/>
  <c r="BD156" i="4"/>
  <c r="BD157" i="4"/>
  <c r="BD158" i="4"/>
  <c r="BD159" i="4"/>
  <c r="BD160" i="4"/>
  <c r="BD161" i="4"/>
  <c r="BD162" i="4"/>
  <c r="BD163" i="4"/>
  <c r="BD164" i="4"/>
  <c r="BD165" i="4"/>
  <c r="BD166" i="4"/>
  <c r="BD167" i="4"/>
  <c r="BD168" i="4"/>
  <c r="BD169" i="4"/>
  <c r="BD170" i="4"/>
  <c r="BD171" i="4"/>
  <c r="BD172" i="4"/>
  <c r="BD173" i="4"/>
  <c r="BD174" i="4"/>
  <c r="BD175" i="4"/>
  <c r="BD176" i="4"/>
  <c r="BD177" i="4"/>
  <c r="BD178" i="4"/>
  <c r="BD179" i="4"/>
  <c r="BD180" i="4"/>
  <c r="BD181" i="4"/>
  <c r="BD182" i="4"/>
  <c r="BD183" i="4"/>
  <c r="BD184" i="4"/>
  <c r="BD185" i="4"/>
  <c r="BD186" i="4"/>
  <c r="BD187" i="4"/>
  <c r="BD188" i="4"/>
  <c r="BD189" i="4"/>
  <c r="BD190" i="4"/>
  <c r="BD191" i="4"/>
  <c r="BD192" i="4"/>
  <c r="BD193" i="4"/>
  <c r="BD194" i="4"/>
  <c r="BD195" i="4"/>
  <c r="BD196" i="4"/>
  <c r="BD197" i="4"/>
  <c r="BD198" i="4"/>
  <c r="BD199" i="4"/>
  <c r="BD200" i="4"/>
  <c r="BD201" i="4"/>
  <c r="BD202" i="4"/>
  <c r="BD203" i="4"/>
  <c r="BD204" i="4"/>
  <c r="BD205" i="4"/>
  <c r="BD206" i="4"/>
  <c r="BD207" i="4"/>
  <c r="BD208" i="4"/>
  <c r="BD209" i="4"/>
  <c r="BD210" i="4"/>
  <c r="BD211" i="4"/>
  <c r="BD212" i="4"/>
  <c r="BD213" i="4"/>
  <c r="BD214" i="4"/>
  <c r="BD215" i="4"/>
  <c r="BD216" i="4"/>
  <c r="BD217" i="4"/>
  <c r="BD218" i="4"/>
  <c r="BD219" i="4"/>
  <c r="BD220" i="4"/>
  <c r="BD221" i="4"/>
  <c r="BD222" i="4"/>
  <c r="BD223" i="4"/>
  <c r="BD224" i="4"/>
  <c r="BD225" i="4"/>
  <c r="BD226" i="4"/>
  <c r="BD227" i="4"/>
  <c r="BD228" i="4"/>
  <c r="BD229" i="4"/>
  <c r="BD230" i="4"/>
  <c r="BD231" i="4"/>
  <c r="BD232" i="4"/>
  <c r="BD233" i="4"/>
  <c r="BD234" i="4"/>
  <c r="BD235" i="4"/>
  <c r="BD236" i="4"/>
  <c r="BD237" i="4"/>
  <c r="BD238" i="4"/>
  <c r="BD239" i="4"/>
  <c r="BD240" i="4"/>
  <c r="BD241" i="4"/>
  <c r="BD242" i="4"/>
  <c r="BD243" i="4"/>
  <c r="BD244" i="4"/>
  <c r="BD245" i="4"/>
  <c r="BD246" i="4"/>
  <c r="BD247" i="4"/>
  <c r="BD248" i="4"/>
  <c r="BD249" i="4"/>
  <c r="BD250" i="4"/>
  <c r="BD251" i="4"/>
  <c r="BD252" i="4"/>
  <c r="BD253" i="4"/>
  <c r="BD254" i="4"/>
  <c r="BD255" i="4"/>
  <c r="BD256" i="4"/>
  <c r="BD257" i="4"/>
  <c r="BD258" i="4"/>
  <c r="BD259" i="4"/>
  <c r="BD260" i="4"/>
  <c r="BD261" i="4"/>
  <c r="BD262" i="4"/>
  <c r="BD263" i="4"/>
  <c r="BD264" i="4"/>
  <c r="BD265" i="4"/>
  <c r="BD266" i="4"/>
  <c r="BD267" i="4"/>
  <c r="BD268" i="4"/>
  <c r="BD269" i="4"/>
  <c r="BD270" i="4"/>
  <c r="BD271" i="4"/>
  <c r="BD272" i="4"/>
  <c r="BD273" i="4"/>
  <c r="BD274" i="4"/>
  <c r="BD275" i="4"/>
  <c r="BD276" i="4"/>
  <c r="BD277" i="4"/>
  <c r="BD278" i="4"/>
  <c r="BD279" i="4"/>
  <c r="BD280" i="4"/>
  <c r="BD281" i="4"/>
  <c r="BD282" i="4"/>
  <c r="BD283" i="4"/>
  <c r="BD284" i="4"/>
  <c r="BD285" i="4"/>
  <c r="BD286" i="4"/>
  <c r="BD287" i="4"/>
  <c r="BD288" i="4"/>
  <c r="BD289" i="4"/>
  <c r="BD290" i="4"/>
  <c r="BD291" i="4"/>
  <c r="BD292" i="4"/>
  <c r="BD293" i="4"/>
  <c r="BD294" i="4"/>
  <c r="BD295" i="4"/>
  <c r="BD296" i="4"/>
  <c r="BD297" i="4"/>
  <c r="BD298" i="4"/>
  <c r="BD299" i="4"/>
  <c r="BD300" i="4"/>
  <c r="BD301" i="4"/>
  <c r="BD302" i="4"/>
  <c r="BD303" i="4"/>
  <c r="BD304" i="4"/>
  <c r="BD305" i="4"/>
  <c r="BD306" i="4"/>
  <c r="BD307" i="4"/>
  <c r="BD308" i="4"/>
  <c r="BD309" i="4"/>
  <c r="BD310" i="4"/>
  <c r="BD311" i="4"/>
  <c r="BD312" i="4"/>
  <c r="BD313" i="4"/>
  <c r="BD314" i="4"/>
  <c r="BD315" i="4"/>
  <c r="BD316" i="4"/>
  <c r="BD317" i="4"/>
  <c r="BD318" i="4"/>
  <c r="BD319" i="4"/>
  <c r="BD320" i="4"/>
  <c r="BD321" i="4"/>
  <c r="BD322" i="4"/>
  <c r="BD323" i="4"/>
  <c r="BD324" i="4"/>
  <c r="BD325" i="4"/>
  <c r="BD326" i="4"/>
  <c r="BD327" i="4"/>
  <c r="BD328" i="4"/>
  <c r="BD329" i="4"/>
  <c r="BD330" i="4"/>
  <c r="BD331" i="4"/>
  <c r="BD332" i="4"/>
  <c r="BD333" i="4"/>
  <c r="BD334" i="4"/>
  <c r="BD335" i="4"/>
  <c r="BD336" i="4"/>
  <c r="BD337" i="4"/>
  <c r="BD338" i="4"/>
  <c r="BD339" i="4"/>
  <c r="BD340" i="4"/>
  <c r="BD341" i="4"/>
  <c r="BD342" i="4"/>
  <c r="BD343" i="4"/>
  <c r="BD344" i="4"/>
  <c r="BD345" i="4"/>
  <c r="BD346" i="4"/>
  <c r="BD347" i="4"/>
  <c r="BD348" i="4"/>
  <c r="BD349" i="4"/>
  <c r="BD350" i="4"/>
  <c r="BD351" i="4"/>
  <c r="BD352" i="4"/>
  <c r="BD353" i="4"/>
  <c r="BD354" i="4"/>
  <c r="BD355" i="4"/>
  <c r="BD356" i="4"/>
  <c r="BD357" i="4"/>
  <c r="BD358" i="4"/>
  <c r="BD359" i="4"/>
  <c r="BD360" i="4"/>
  <c r="BD361" i="4"/>
  <c r="BD362" i="4"/>
  <c r="BD363" i="4"/>
  <c r="BD364" i="4"/>
  <c r="BD365" i="4"/>
  <c r="BD366" i="4"/>
  <c r="BD367" i="4"/>
  <c r="BD368" i="4"/>
  <c r="BD369" i="4"/>
  <c r="BD370" i="4"/>
  <c r="BD371" i="4"/>
  <c r="BD372" i="4"/>
  <c r="BD373" i="4"/>
  <c r="BD374" i="4"/>
  <c r="BD375" i="4"/>
  <c r="BD376" i="4"/>
  <c r="BD377" i="4"/>
  <c r="BD378" i="4"/>
  <c r="BD379" i="4"/>
  <c r="BD380" i="4"/>
  <c r="BD381" i="4"/>
  <c r="BD382" i="4"/>
  <c r="BD383" i="4"/>
  <c r="BD384" i="4"/>
  <c r="BD385" i="4"/>
  <c r="BD386" i="4"/>
  <c r="BD387" i="4"/>
  <c r="BD388" i="4"/>
  <c r="BD389" i="4"/>
  <c r="BD390" i="4"/>
  <c r="BD391" i="4"/>
  <c r="BD392" i="4"/>
  <c r="BD393" i="4"/>
  <c r="BD394" i="4"/>
  <c r="BD395" i="4"/>
  <c r="BD396" i="4"/>
  <c r="BD397" i="4"/>
  <c r="BD398" i="4"/>
  <c r="BD399" i="4"/>
  <c r="BD400" i="4"/>
  <c r="BD401" i="4"/>
  <c r="BD402" i="4"/>
  <c r="BD403" i="4"/>
  <c r="BD404" i="4"/>
  <c r="B105" i="5"/>
  <c r="AI6" i="13" a="1"/>
  <c r="AI6" i="13" s="1"/>
  <c r="AH6" i="13" a="1"/>
  <c r="AH6" i="13" s="1"/>
  <c r="N43" i="13"/>
  <c r="N44" i="13"/>
  <c r="AD6" i="13"/>
  <c r="D3" i="3"/>
  <c r="BG391" i="4" l="1"/>
  <c r="BG375" i="4"/>
  <c r="BG359" i="4"/>
  <c r="BG343" i="4"/>
  <c r="BG327" i="4"/>
  <c r="BG311" i="4"/>
  <c r="BG295" i="4"/>
  <c r="BG279" i="4"/>
  <c r="BG263" i="4"/>
  <c r="BG247" i="4"/>
  <c r="BG231" i="4"/>
  <c r="BG215" i="4"/>
  <c r="BG199" i="4"/>
  <c r="BG183" i="4"/>
  <c r="BG167" i="4"/>
  <c r="BG151" i="4"/>
  <c r="BG135" i="4"/>
  <c r="BG119" i="4"/>
  <c r="BG103" i="4"/>
  <c r="BG87" i="4"/>
  <c r="BG71" i="4"/>
  <c r="BG55" i="4"/>
  <c r="BG39" i="4"/>
  <c r="BG23" i="4"/>
  <c r="BG7" i="4"/>
  <c r="BG390" i="4"/>
  <c r="BG374" i="4"/>
  <c r="BG358" i="4"/>
  <c r="BG342" i="4"/>
  <c r="BG326" i="4"/>
  <c r="BG310" i="4"/>
  <c r="BG294" i="4"/>
  <c r="BG278" i="4"/>
  <c r="BG262" i="4"/>
  <c r="BG246" i="4"/>
  <c r="BG230" i="4"/>
  <c r="BG214" i="4"/>
  <c r="BG198" i="4"/>
  <c r="BG182" i="4"/>
  <c r="BG166" i="4"/>
  <c r="BG150" i="4"/>
  <c r="BG134" i="4"/>
  <c r="BG118" i="4"/>
  <c r="BG102" i="4"/>
  <c r="BG86" i="4"/>
  <c r="BG70" i="4"/>
  <c r="BG54" i="4"/>
  <c r="BG38" i="4"/>
  <c r="BG22" i="4"/>
  <c r="BG6" i="4"/>
  <c r="BG389" i="4"/>
  <c r="BG373" i="4"/>
  <c r="BG357" i="4"/>
  <c r="BG341" i="4"/>
  <c r="BG325" i="4"/>
  <c r="BG309" i="4"/>
  <c r="BG293" i="4"/>
  <c r="BG277" i="4"/>
  <c r="BG261" i="4"/>
  <c r="BG245" i="4"/>
  <c r="BG229" i="4"/>
  <c r="BG213" i="4"/>
  <c r="BG197" i="4"/>
  <c r="BG181" i="4"/>
  <c r="BG165" i="4"/>
  <c r="BG149" i="4"/>
  <c r="BG133" i="4"/>
  <c r="BG117" i="4"/>
  <c r="BG101" i="4"/>
  <c r="BG85" i="4"/>
  <c r="BG69" i="4"/>
  <c r="BG53" i="4"/>
  <c r="BG37" i="4"/>
  <c r="BG21" i="4"/>
  <c r="BG404" i="4"/>
  <c r="BG388" i="4"/>
  <c r="BG372" i="4"/>
  <c r="BG356" i="4"/>
  <c r="BG340" i="4"/>
  <c r="BG324" i="4"/>
  <c r="BG308" i="4"/>
  <c r="BG292" i="4"/>
  <c r="BG276" i="4"/>
  <c r="BG260" i="4"/>
  <c r="BG244" i="4"/>
  <c r="BG228" i="4"/>
  <c r="BG212" i="4"/>
  <c r="BG196" i="4"/>
  <c r="BG180" i="4"/>
  <c r="BG164" i="4"/>
  <c r="BG148" i="4"/>
  <c r="BG132" i="4"/>
  <c r="BG116" i="4"/>
  <c r="BG100" i="4"/>
  <c r="BG84" i="4"/>
  <c r="BG68" i="4"/>
  <c r="BG52" i="4"/>
  <c r="BG36" i="4"/>
  <c r="BG20" i="4"/>
  <c r="BG403" i="4"/>
  <c r="BG387" i="4"/>
  <c r="BG371" i="4"/>
  <c r="BG355" i="4"/>
  <c r="BG339" i="4"/>
  <c r="BG323" i="4"/>
  <c r="BG307" i="4"/>
  <c r="BG291" i="4"/>
  <c r="BG275" i="4"/>
  <c r="BG259" i="4"/>
  <c r="BG243" i="4"/>
  <c r="BG227" i="4"/>
  <c r="BG211" i="4"/>
  <c r="BG195" i="4"/>
  <c r="BG179" i="4"/>
  <c r="BG163" i="4"/>
  <c r="BG147" i="4"/>
  <c r="BG131" i="4"/>
  <c r="BG115" i="4"/>
  <c r="BG99" i="4"/>
  <c r="BG83" i="4"/>
  <c r="BG67" i="4"/>
  <c r="BG51" i="4"/>
  <c r="BG35" i="4"/>
  <c r="BG19" i="4"/>
  <c r="BG402" i="4"/>
  <c r="BG386" i="4"/>
  <c r="BG370" i="4"/>
  <c r="BG354" i="4"/>
  <c r="BG338" i="4"/>
  <c r="BG322" i="4"/>
  <c r="BG306" i="4"/>
  <c r="BG290" i="4"/>
  <c r="BG274" i="4"/>
  <c r="BG258" i="4"/>
  <c r="BG242" i="4"/>
  <c r="BG226" i="4"/>
  <c r="BG210" i="4"/>
  <c r="BG194" i="4"/>
  <c r="BG178" i="4"/>
  <c r="BG162" i="4"/>
  <c r="BG146" i="4"/>
  <c r="BG130" i="4"/>
  <c r="BG114" i="4"/>
  <c r="BG98" i="4"/>
  <c r="BG82" i="4"/>
  <c r="BG66" i="4"/>
  <c r="BG50" i="4"/>
  <c r="BG34" i="4"/>
  <c r="BG18" i="4"/>
  <c r="BG401" i="4"/>
  <c r="BG385" i="4"/>
  <c r="BG369" i="4"/>
  <c r="BG353" i="4"/>
  <c r="BG337" i="4"/>
  <c r="BG321" i="4"/>
  <c r="BG305" i="4"/>
  <c r="BG289" i="4"/>
  <c r="BG273" i="4"/>
  <c r="BG257" i="4"/>
  <c r="BG241" i="4"/>
  <c r="BG225" i="4"/>
  <c r="BG209" i="4"/>
  <c r="BG193" i="4"/>
  <c r="BG177" i="4"/>
  <c r="BG161" i="4"/>
  <c r="BG145" i="4"/>
  <c r="BG129" i="4"/>
  <c r="BG113" i="4"/>
  <c r="BG97" i="4"/>
  <c r="BG81" i="4"/>
  <c r="BG65" i="4"/>
  <c r="BG49" i="4"/>
  <c r="BG33" i="4"/>
  <c r="BG17" i="4"/>
  <c r="BG400" i="4"/>
  <c r="BG384" i="4"/>
  <c r="BG368" i="4"/>
  <c r="BG352" i="4"/>
  <c r="BG336" i="4"/>
  <c r="BG320" i="4"/>
  <c r="BG304" i="4"/>
  <c r="BG288" i="4"/>
  <c r="BG272" i="4"/>
  <c r="BG256" i="4"/>
  <c r="BG240" i="4"/>
  <c r="BG224" i="4"/>
  <c r="BG208" i="4"/>
  <c r="BG192" i="4"/>
  <c r="BG176" i="4"/>
  <c r="BG160" i="4"/>
  <c r="BG144" i="4"/>
  <c r="BG128" i="4"/>
  <c r="BG112" i="4"/>
  <c r="BG96" i="4"/>
  <c r="BG80" i="4"/>
  <c r="BG64" i="4"/>
  <c r="BG48" i="4"/>
  <c r="BG32" i="4"/>
  <c r="BG16" i="4"/>
  <c r="BG399" i="4"/>
  <c r="BG383" i="4"/>
  <c r="BG367" i="4"/>
  <c r="BG351" i="4"/>
  <c r="BG335" i="4"/>
  <c r="BG319" i="4"/>
  <c r="BG303" i="4"/>
  <c r="BG287" i="4"/>
  <c r="BG271" i="4"/>
  <c r="BG255" i="4"/>
  <c r="BG239" i="4"/>
  <c r="BG223" i="4"/>
  <c r="BG207" i="4"/>
  <c r="BG191" i="4"/>
  <c r="BG175" i="4"/>
  <c r="BG159" i="4"/>
  <c r="BG143" i="4"/>
  <c r="BG127" i="4"/>
  <c r="BG111" i="4"/>
  <c r="BG95" i="4"/>
  <c r="BG79" i="4"/>
  <c r="BG63" i="4"/>
  <c r="BG47" i="4"/>
  <c r="BG31" i="4"/>
  <c r="BG15" i="4"/>
  <c r="BG398" i="4"/>
  <c r="BG382" i="4"/>
  <c r="BG366" i="4"/>
  <c r="BG350" i="4"/>
  <c r="BG334" i="4"/>
  <c r="BG318" i="4"/>
  <c r="BG302" i="4"/>
  <c r="BG286" i="4"/>
  <c r="BG270" i="4"/>
  <c r="BG254" i="4"/>
  <c r="BG238" i="4"/>
  <c r="BG222" i="4"/>
  <c r="BG206" i="4"/>
  <c r="BG190" i="4"/>
  <c r="BG174" i="4"/>
  <c r="BG158" i="4"/>
  <c r="BG142" i="4"/>
  <c r="BG126" i="4"/>
  <c r="BG110" i="4"/>
  <c r="BG94" i="4"/>
  <c r="BG78" i="4"/>
  <c r="BG62" i="4"/>
  <c r="BG46" i="4"/>
  <c r="BG30" i="4"/>
  <c r="BG14" i="4"/>
  <c r="BG397" i="4"/>
  <c r="BG381" i="4"/>
  <c r="BG365" i="4"/>
  <c r="BG349" i="4"/>
  <c r="BG333" i="4"/>
  <c r="BG317" i="4"/>
  <c r="BG301" i="4"/>
  <c r="BG285" i="4"/>
  <c r="BG269" i="4"/>
  <c r="BG253" i="4"/>
  <c r="BG237" i="4"/>
  <c r="BG221" i="4"/>
  <c r="BG205" i="4"/>
  <c r="BG189" i="4"/>
  <c r="BG173" i="4"/>
  <c r="BG157" i="4"/>
  <c r="BG141" i="4"/>
  <c r="BG125" i="4"/>
  <c r="BG109" i="4"/>
  <c r="BG93" i="4"/>
  <c r="BG77" i="4"/>
  <c r="BG61" i="4"/>
  <c r="BG45" i="4"/>
  <c r="BG29" i="4"/>
  <c r="BG13" i="4"/>
  <c r="BG396" i="4"/>
  <c r="BG380" i="4"/>
  <c r="BG364" i="4"/>
  <c r="BG348" i="4"/>
  <c r="BG332" i="4"/>
  <c r="BG316" i="4"/>
  <c r="BG300" i="4"/>
  <c r="BG284" i="4"/>
  <c r="BG268" i="4"/>
  <c r="BG252" i="4"/>
  <c r="BG236" i="4"/>
  <c r="BG220" i="4"/>
  <c r="BG204" i="4"/>
  <c r="BG188" i="4"/>
  <c r="BG172" i="4"/>
  <c r="BG156" i="4"/>
  <c r="BG140" i="4"/>
  <c r="BG124" i="4"/>
  <c r="BG108" i="4"/>
  <c r="BG92" i="4"/>
  <c r="BG76" i="4"/>
  <c r="BG60" i="4"/>
  <c r="BG44" i="4"/>
  <c r="BG28" i="4"/>
  <c r="BG12" i="4"/>
  <c r="BG395" i="4"/>
  <c r="BG379" i="4"/>
  <c r="BG363" i="4"/>
  <c r="BG347" i="4"/>
  <c r="BG331" i="4"/>
  <c r="BG315" i="4"/>
  <c r="BG299" i="4"/>
  <c r="BG283" i="4"/>
  <c r="BG267" i="4"/>
  <c r="BG251" i="4"/>
  <c r="BG235" i="4"/>
  <c r="BG219" i="4"/>
  <c r="BG203" i="4"/>
  <c r="BG187" i="4"/>
  <c r="BG171" i="4"/>
  <c r="BG155" i="4"/>
  <c r="BG139" i="4"/>
  <c r="BG123" i="4"/>
  <c r="BG107" i="4"/>
  <c r="BG91" i="4"/>
  <c r="BG75" i="4"/>
  <c r="BG59" i="4"/>
  <c r="BG43" i="4"/>
  <c r="BG27" i="4"/>
  <c r="BG11" i="4"/>
  <c r="BG394" i="4"/>
  <c r="BG378" i="4"/>
  <c r="BG362" i="4"/>
  <c r="BG346" i="4"/>
  <c r="BG330" i="4"/>
  <c r="BG314" i="4"/>
  <c r="BG298" i="4"/>
  <c r="BG282" i="4"/>
  <c r="BG266" i="4"/>
  <c r="BG250" i="4"/>
  <c r="BG234" i="4"/>
  <c r="BG218" i="4"/>
  <c r="BG202" i="4"/>
  <c r="BG186" i="4"/>
  <c r="BG170" i="4"/>
  <c r="BG154" i="4"/>
  <c r="BG138" i="4"/>
  <c r="BG122" i="4"/>
  <c r="BG106" i="4"/>
  <c r="BG90" i="4"/>
  <c r="BG74" i="4"/>
  <c r="BG58" i="4"/>
  <c r="BG42" i="4"/>
  <c r="BG26" i="4"/>
  <c r="BG10" i="4"/>
  <c r="BG393" i="4"/>
  <c r="BG377" i="4"/>
  <c r="BG361" i="4"/>
  <c r="BG345" i="4"/>
  <c r="BG329" i="4"/>
  <c r="BG313" i="4"/>
  <c r="BG297" i="4"/>
  <c r="BG281" i="4"/>
  <c r="BG265" i="4"/>
  <c r="BG249" i="4"/>
  <c r="BG233" i="4"/>
  <c r="BG217" i="4"/>
  <c r="BG201" i="4"/>
  <c r="BG185" i="4"/>
  <c r="BG169" i="4"/>
  <c r="BG153" i="4"/>
  <c r="BG137" i="4"/>
  <c r="BG121" i="4"/>
  <c r="BG105" i="4"/>
  <c r="BG89" i="4"/>
  <c r="BG73" i="4"/>
  <c r="BG57" i="4"/>
  <c r="BG41" i="4"/>
  <c r="BG25" i="4"/>
  <c r="BG9" i="4"/>
  <c r="BG392" i="4"/>
  <c r="BG376" i="4"/>
  <c r="BG360" i="4"/>
  <c r="BG344" i="4"/>
  <c r="BG328" i="4"/>
  <c r="BG312" i="4"/>
  <c r="BG296" i="4"/>
  <c r="BG280" i="4"/>
  <c r="BG264" i="4"/>
  <c r="BG248" i="4"/>
  <c r="BG232" i="4"/>
  <c r="BG216" i="4"/>
  <c r="BG200" i="4"/>
  <c r="BG184" i="4"/>
  <c r="BG168" i="4"/>
  <c r="BG152" i="4"/>
  <c r="BG136" i="4"/>
  <c r="BG120" i="4"/>
  <c r="BG104" i="4"/>
  <c r="BG88" i="4"/>
  <c r="BG72" i="4"/>
  <c r="BG56" i="4"/>
  <c r="BG40" i="4"/>
  <c r="BG24" i="4"/>
  <c r="BG8" i="4"/>
  <c r="BG5" i="4"/>
  <c r="G22" i="10"/>
  <c r="AS12" i="13" s="1"/>
  <c r="F22" i="10"/>
  <c r="AS14" i="13" s="1"/>
  <c r="E22" i="10"/>
  <c r="AS13" i="13" s="1"/>
  <c r="AJ6" i="13"/>
  <c r="AK6" i="13"/>
  <c r="A2" i="4"/>
  <c r="AU34" i="13"/>
  <c r="AU33" i="13"/>
  <c r="AU32" i="13"/>
  <c r="AU31" i="13"/>
  <c r="AU30" i="13"/>
  <c r="AU29" i="13"/>
  <c r="AU28" i="13"/>
  <c r="AU27" i="13"/>
  <c r="AU26" i="13"/>
  <c r="AU25" i="13"/>
  <c r="AU24" i="13"/>
  <c r="AU23" i="13"/>
  <c r="AU22" i="13"/>
  <c r="AU21" i="13"/>
  <c r="AU20" i="13"/>
  <c r="AU19" i="13"/>
  <c r="AU18" i="13"/>
  <c r="AU17" i="13"/>
  <c r="AU16" i="13"/>
  <c r="AU15" i="13"/>
  <c r="AU14" i="13"/>
  <c r="AU13" i="13"/>
  <c r="AU12" i="13"/>
  <c r="AV34" i="13"/>
  <c r="AV33" i="13"/>
  <c r="AV32" i="13"/>
  <c r="AV31" i="13"/>
  <c r="AV30" i="13"/>
  <c r="AV29" i="13"/>
  <c r="AV28" i="13"/>
  <c r="AV27" i="13"/>
  <c r="AV26" i="13"/>
  <c r="AV25" i="13"/>
  <c r="AV24" i="13"/>
  <c r="AV23" i="13"/>
  <c r="AV22" i="13"/>
  <c r="AV21" i="13"/>
  <c r="AV20" i="13"/>
  <c r="AV19" i="13"/>
  <c r="AV18" i="13"/>
  <c r="AV17" i="13"/>
  <c r="AV16" i="13"/>
  <c r="AV15" i="13"/>
  <c r="AV14" i="13"/>
  <c r="AV13" i="13"/>
  <c r="AV12" i="13"/>
  <c r="AV8" i="13"/>
  <c r="AV9" i="13"/>
  <c r="AV7" i="13"/>
  <c r="AU8" i="13"/>
  <c r="A14" i="6" a="1"/>
  <c r="A14" i="6" s="1"/>
  <c r="A4" i="6"/>
  <c r="A5" i="6"/>
  <c r="AU5" i="13"/>
  <c r="A4" i="13" l="1"/>
  <c r="H4" i="13" s="1"/>
  <c r="AV6" i="13"/>
  <c r="A28" i="7" s="1"/>
  <c r="C19" i="1"/>
  <c r="B4" i="13" l="1"/>
  <c r="J4" i="13"/>
  <c r="C4" i="13"/>
  <c r="A5" i="13"/>
  <c r="D5" i="13" s="1"/>
  <c r="E4" i="13"/>
  <c r="I4" i="13"/>
  <c r="D4" i="13"/>
  <c r="F4" i="13"/>
  <c r="G4" i="13"/>
  <c r="C27" i="1"/>
  <c r="C26" i="1"/>
  <c r="C25" i="1"/>
  <c r="C24" i="1"/>
  <c r="C23" i="1"/>
  <c r="C22" i="1"/>
  <c r="C20" i="1"/>
  <c r="A26" i="7"/>
  <c r="A25" i="7"/>
  <c r="A24" i="7"/>
  <c r="A2" i="7"/>
  <c r="A40" i="6"/>
  <c r="F5" i="13" l="1"/>
  <c r="G5" i="13"/>
  <c r="H5" i="13"/>
  <c r="I5" i="13"/>
  <c r="A6" i="13"/>
  <c r="G6" i="13" s="1"/>
  <c r="E5" i="13"/>
  <c r="J5" i="13"/>
  <c r="B5" i="13"/>
  <c r="C5" i="13"/>
  <c r="AU11" i="13"/>
  <c r="AU10" i="13"/>
  <c r="AU9" i="13"/>
  <c r="AH36" i="13"/>
  <c r="AH35" i="13"/>
  <c r="AH31" i="13"/>
  <c r="AC34" i="13"/>
  <c r="AC33" i="13"/>
  <c r="AC32" i="13"/>
  <c r="AC31" i="13"/>
  <c r="C105" i="5"/>
  <c r="C21" i="1"/>
  <c r="F6" i="13" l="1"/>
  <c r="A7" i="13"/>
  <c r="E7" i="13" s="1"/>
  <c r="D6" i="13"/>
  <c r="J6" i="13"/>
  <c r="C6" i="13"/>
  <c r="B6" i="13"/>
  <c r="I6" i="13"/>
  <c r="E6" i="13"/>
  <c r="H6" i="13"/>
  <c r="A2" i="6"/>
  <c r="B10" i="3"/>
  <c r="AS5" i="13"/>
  <c r="AS4" i="13"/>
  <c r="AS3" i="13"/>
  <c r="AS1" i="13"/>
  <c r="I7" i="13" l="1"/>
  <c r="B7" i="13"/>
  <c r="D7" i="13"/>
  <c r="F7" i="13"/>
  <c r="G7" i="13"/>
  <c r="J7" i="13"/>
  <c r="A8" i="13"/>
  <c r="I8" i="13" s="1"/>
  <c r="C7" i="13"/>
  <c r="H7" i="13"/>
  <c r="A3" i="4"/>
  <c r="AS6" i="13"/>
  <c r="BB5" i="4"/>
  <c r="BB6" i="4"/>
  <c r="BB7" i="4"/>
  <c r="BB8"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38" i="4"/>
  <c r="BB39" i="4"/>
  <c r="BB40" i="4"/>
  <c r="BB41" i="4"/>
  <c r="BB42" i="4"/>
  <c r="BB43" i="4"/>
  <c r="BB44" i="4"/>
  <c r="BB45" i="4"/>
  <c r="BB46" i="4"/>
  <c r="BB47" i="4"/>
  <c r="BB48" i="4"/>
  <c r="BB49" i="4"/>
  <c r="BB50" i="4"/>
  <c r="BB51" i="4"/>
  <c r="BB52" i="4"/>
  <c r="BB53" i="4"/>
  <c r="BB54" i="4"/>
  <c r="BB55" i="4"/>
  <c r="BB56" i="4"/>
  <c r="BB57" i="4"/>
  <c r="BB58" i="4"/>
  <c r="BB59" i="4"/>
  <c r="BB60" i="4"/>
  <c r="BB61" i="4"/>
  <c r="BB62" i="4"/>
  <c r="BB63" i="4"/>
  <c r="BB64" i="4"/>
  <c r="BB65" i="4"/>
  <c r="BB66" i="4"/>
  <c r="BB67" i="4"/>
  <c r="BB68" i="4"/>
  <c r="BB69" i="4"/>
  <c r="BB70" i="4"/>
  <c r="BB71" i="4"/>
  <c r="BB72" i="4"/>
  <c r="BB73" i="4"/>
  <c r="BB74" i="4"/>
  <c r="BB75" i="4"/>
  <c r="BB76" i="4"/>
  <c r="BB77" i="4"/>
  <c r="BB78" i="4"/>
  <c r="BB79" i="4"/>
  <c r="BB80" i="4"/>
  <c r="BB81" i="4"/>
  <c r="BB82" i="4"/>
  <c r="BB83" i="4"/>
  <c r="BB84" i="4"/>
  <c r="BB85" i="4"/>
  <c r="BB86" i="4"/>
  <c r="BB87" i="4"/>
  <c r="BB88" i="4"/>
  <c r="BB89" i="4"/>
  <c r="BB90" i="4"/>
  <c r="BB91" i="4"/>
  <c r="BB92" i="4"/>
  <c r="BB93" i="4"/>
  <c r="BB94" i="4"/>
  <c r="BB95" i="4"/>
  <c r="BB96" i="4"/>
  <c r="BB97" i="4"/>
  <c r="BB98" i="4"/>
  <c r="BB99" i="4"/>
  <c r="BB100" i="4"/>
  <c r="BB101" i="4"/>
  <c r="BB102" i="4"/>
  <c r="BB103" i="4"/>
  <c r="BB104" i="4"/>
  <c r="BB105" i="4"/>
  <c r="BB106" i="4"/>
  <c r="BB107" i="4"/>
  <c r="BB108" i="4"/>
  <c r="BB109" i="4"/>
  <c r="BB110" i="4"/>
  <c r="BB111" i="4"/>
  <c r="BB112" i="4"/>
  <c r="BB113" i="4"/>
  <c r="BB114" i="4"/>
  <c r="BB115" i="4"/>
  <c r="BB116" i="4"/>
  <c r="BB117" i="4"/>
  <c r="BB118" i="4"/>
  <c r="BB119" i="4"/>
  <c r="BB120" i="4"/>
  <c r="BB121" i="4"/>
  <c r="BB122" i="4"/>
  <c r="BB123" i="4"/>
  <c r="BB124" i="4"/>
  <c r="BB125" i="4"/>
  <c r="BB126" i="4"/>
  <c r="BB127" i="4"/>
  <c r="BB128" i="4"/>
  <c r="BB129" i="4"/>
  <c r="BB130" i="4"/>
  <c r="BB131" i="4"/>
  <c r="BB132" i="4"/>
  <c r="BB133" i="4"/>
  <c r="BB134" i="4"/>
  <c r="BB135" i="4"/>
  <c r="BB136" i="4"/>
  <c r="BB137" i="4"/>
  <c r="BB138" i="4"/>
  <c r="BB139" i="4"/>
  <c r="BB140" i="4"/>
  <c r="BB141" i="4"/>
  <c r="BB142" i="4"/>
  <c r="BB143" i="4"/>
  <c r="BB144" i="4"/>
  <c r="BB145" i="4"/>
  <c r="BB146" i="4"/>
  <c r="BB147" i="4"/>
  <c r="BB148" i="4"/>
  <c r="BB149" i="4"/>
  <c r="BB150" i="4"/>
  <c r="BB151" i="4"/>
  <c r="BB152" i="4"/>
  <c r="BB153" i="4"/>
  <c r="BB154" i="4"/>
  <c r="BB155" i="4"/>
  <c r="BB156" i="4"/>
  <c r="BB157" i="4"/>
  <c r="BB158" i="4"/>
  <c r="BB159" i="4"/>
  <c r="BB160" i="4"/>
  <c r="BB161" i="4"/>
  <c r="BB162" i="4"/>
  <c r="BB163" i="4"/>
  <c r="BB164" i="4"/>
  <c r="BB165" i="4"/>
  <c r="BB166" i="4"/>
  <c r="BB167" i="4"/>
  <c r="BB168" i="4"/>
  <c r="BB169" i="4"/>
  <c r="BB170" i="4"/>
  <c r="BB171" i="4"/>
  <c r="BB172" i="4"/>
  <c r="BB173" i="4"/>
  <c r="BB174" i="4"/>
  <c r="BB175" i="4"/>
  <c r="BB176" i="4"/>
  <c r="BB177" i="4"/>
  <c r="BB178" i="4"/>
  <c r="BB179" i="4"/>
  <c r="BB180" i="4"/>
  <c r="BB181" i="4"/>
  <c r="BB182" i="4"/>
  <c r="BB183" i="4"/>
  <c r="BB184" i="4"/>
  <c r="BB185" i="4"/>
  <c r="BB186" i="4"/>
  <c r="BB187" i="4"/>
  <c r="BB188" i="4"/>
  <c r="BB189" i="4"/>
  <c r="BB190" i="4"/>
  <c r="BB191" i="4"/>
  <c r="BB192" i="4"/>
  <c r="BB193" i="4"/>
  <c r="BB194" i="4"/>
  <c r="BB195" i="4"/>
  <c r="BB196" i="4"/>
  <c r="BB197" i="4"/>
  <c r="BB198" i="4"/>
  <c r="BB199" i="4"/>
  <c r="BB200" i="4"/>
  <c r="BB201" i="4"/>
  <c r="BB202" i="4"/>
  <c r="BB203" i="4"/>
  <c r="BB204" i="4"/>
  <c r="BB205" i="4"/>
  <c r="BB206" i="4"/>
  <c r="BB207" i="4"/>
  <c r="BB208" i="4"/>
  <c r="BB209" i="4"/>
  <c r="BB210" i="4"/>
  <c r="BB211" i="4"/>
  <c r="BB212" i="4"/>
  <c r="BB213" i="4"/>
  <c r="BB214" i="4"/>
  <c r="BB215" i="4"/>
  <c r="BB216" i="4"/>
  <c r="BB217" i="4"/>
  <c r="BB218" i="4"/>
  <c r="BB219" i="4"/>
  <c r="BB220" i="4"/>
  <c r="BB221" i="4"/>
  <c r="BB222" i="4"/>
  <c r="BB223" i="4"/>
  <c r="BB224" i="4"/>
  <c r="BB225" i="4"/>
  <c r="BB226" i="4"/>
  <c r="BB227" i="4"/>
  <c r="BB228" i="4"/>
  <c r="BB229" i="4"/>
  <c r="BB230" i="4"/>
  <c r="BB231" i="4"/>
  <c r="BB232" i="4"/>
  <c r="BB233" i="4"/>
  <c r="BB234" i="4"/>
  <c r="BB235" i="4"/>
  <c r="BB236" i="4"/>
  <c r="BB237" i="4"/>
  <c r="BB238" i="4"/>
  <c r="BB239" i="4"/>
  <c r="BB240" i="4"/>
  <c r="BB241" i="4"/>
  <c r="BB242" i="4"/>
  <c r="BB243" i="4"/>
  <c r="BB244" i="4"/>
  <c r="BB245" i="4"/>
  <c r="BB246" i="4"/>
  <c r="BB247" i="4"/>
  <c r="BB248" i="4"/>
  <c r="BB249" i="4"/>
  <c r="BB250" i="4"/>
  <c r="BB251" i="4"/>
  <c r="BB252" i="4"/>
  <c r="BB253" i="4"/>
  <c r="BB254" i="4"/>
  <c r="BB255" i="4"/>
  <c r="BB256" i="4"/>
  <c r="BB257" i="4"/>
  <c r="BB258" i="4"/>
  <c r="BB259" i="4"/>
  <c r="BB260" i="4"/>
  <c r="BB261" i="4"/>
  <c r="BB262" i="4"/>
  <c r="BB263" i="4"/>
  <c r="BB264" i="4"/>
  <c r="BB265" i="4"/>
  <c r="BB266" i="4"/>
  <c r="BB267" i="4"/>
  <c r="BB268" i="4"/>
  <c r="BB269" i="4"/>
  <c r="BB270" i="4"/>
  <c r="BB271" i="4"/>
  <c r="BB272" i="4"/>
  <c r="BB273" i="4"/>
  <c r="BB274" i="4"/>
  <c r="BB275" i="4"/>
  <c r="BB276" i="4"/>
  <c r="BB277" i="4"/>
  <c r="BB278" i="4"/>
  <c r="BB279" i="4"/>
  <c r="BB280" i="4"/>
  <c r="BB281" i="4"/>
  <c r="BB282" i="4"/>
  <c r="BB283" i="4"/>
  <c r="BB284" i="4"/>
  <c r="BB285" i="4"/>
  <c r="BB286" i="4"/>
  <c r="BB287" i="4"/>
  <c r="BB288" i="4"/>
  <c r="BB289" i="4"/>
  <c r="BB290" i="4"/>
  <c r="BB291" i="4"/>
  <c r="BB292" i="4"/>
  <c r="BB293" i="4"/>
  <c r="BB294" i="4"/>
  <c r="BB295" i="4"/>
  <c r="BB296" i="4"/>
  <c r="BB297" i="4"/>
  <c r="BB298" i="4"/>
  <c r="BB299" i="4"/>
  <c r="BB300" i="4"/>
  <c r="BB301" i="4"/>
  <c r="BB302" i="4"/>
  <c r="BB303" i="4"/>
  <c r="BB304" i="4"/>
  <c r="BB305" i="4"/>
  <c r="BB306" i="4"/>
  <c r="BB307" i="4"/>
  <c r="BB308" i="4"/>
  <c r="BB309" i="4"/>
  <c r="BB310" i="4"/>
  <c r="BB311" i="4"/>
  <c r="BB312" i="4"/>
  <c r="BB313" i="4"/>
  <c r="BB314" i="4"/>
  <c r="BB315" i="4"/>
  <c r="BB316" i="4"/>
  <c r="BB317" i="4"/>
  <c r="BB318" i="4"/>
  <c r="BB319" i="4"/>
  <c r="BB320" i="4"/>
  <c r="BB321" i="4"/>
  <c r="BB322" i="4"/>
  <c r="BB323" i="4"/>
  <c r="BB324" i="4"/>
  <c r="BB325" i="4"/>
  <c r="BB326" i="4"/>
  <c r="BB327" i="4"/>
  <c r="BB328" i="4"/>
  <c r="BB329" i="4"/>
  <c r="BB330" i="4"/>
  <c r="BB331" i="4"/>
  <c r="BB332" i="4"/>
  <c r="BB333" i="4"/>
  <c r="BB334" i="4"/>
  <c r="BB335" i="4"/>
  <c r="BB336" i="4"/>
  <c r="BB337" i="4"/>
  <c r="BB338" i="4"/>
  <c r="BB339" i="4"/>
  <c r="BB340" i="4"/>
  <c r="BB341" i="4"/>
  <c r="BB342" i="4"/>
  <c r="BB343" i="4"/>
  <c r="BB344" i="4"/>
  <c r="BB345" i="4"/>
  <c r="BB346" i="4"/>
  <c r="BB347" i="4"/>
  <c r="BB348" i="4"/>
  <c r="BB349" i="4"/>
  <c r="BB350" i="4"/>
  <c r="BB351" i="4"/>
  <c r="BB352" i="4"/>
  <c r="BB353" i="4"/>
  <c r="BB354" i="4"/>
  <c r="BB355" i="4"/>
  <c r="BB356" i="4"/>
  <c r="BB357" i="4"/>
  <c r="BB358" i="4"/>
  <c r="BB359" i="4"/>
  <c r="BB360" i="4"/>
  <c r="BB361" i="4"/>
  <c r="BB362" i="4"/>
  <c r="BB363" i="4"/>
  <c r="BB364" i="4"/>
  <c r="BB365" i="4"/>
  <c r="BB366" i="4"/>
  <c r="BB367" i="4"/>
  <c r="BB368" i="4"/>
  <c r="BB369" i="4"/>
  <c r="BB370" i="4"/>
  <c r="BB371" i="4"/>
  <c r="BB372" i="4"/>
  <c r="BB373" i="4"/>
  <c r="BB374" i="4"/>
  <c r="BB375" i="4"/>
  <c r="BB376" i="4"/>
  <c r="BB377" i="4"/>
  <c r="BB378" i="4"/>
  <c r="BB379" i="4"/>
  <c r="BB380" i="4"/>
  <c r="BB381" i="4"/>
  <c r="BB382" i="4"/>
  <c r="BB383" i="4"/>
  <c r="BB384" i="4"/>
  <c r="BB385" i="4"/>
  <c r="BB386" i="4"/>
  <c r="BB387" i="4"/>
  <c r="BB388" i="4"/>
  <c r="BB389" i="4"/>
  <c r="BB390" i="4"/>
  <c r="BB391" i="4"/>
  <c r="BB392" i="4"/>
  <c r="BB393" i="4"/>
  <c r="BB394" i="4"/>
  <c r="BB395" i="4"/>
  <c r="BB396" i="4"/>
  <c r="BB397" i="4"/>
  <c r="BB398" i="4"/>
  <c r="BB399" i="4"/>
  <c r="BB400" i="4"/>
  <c r="BB401" i="4"/>
  <c r="BB402" i="4"/>
  <c r="BB403" i="4"/>
  <c r="BB404" i="4"/>
  <c r="AU3" i="13"/>
  <c r="AU2" i="13"/>
  <c r="AG6" i="13"/>
  <c r="AE6" i="13"/>
  <c r="AC29" i="13"/>
  <c r="AC28" i="13"/>
  <c r="AC27" i="13"/>
  <c r="AC26" i="13"/>
  <c r="AC25" i="13"/>
  <c r="AC24" i="13"/>
  <c r="AC23" i="13"/>
  <c r="AC22" i="13"/>
  <c r="AC21" i="13"/>
  <c r="AC20" i="13"/>
  <c r="AC19" i="13"/>
  <c r="AC18" i="13"/>
  <c r="AC17" i="13"/>
  <c r="AC16" i="13"/>
  <c r="AC15" i="13"/>
  <c r="AC14" i="13"/>
  <c r="AC13" i="13"/>
  <c r="AC12" i="13"/>
  <c r="AC11" i="13"/>
  <c r="AC10" i="13"/>
  <c r="AC9" i="13"/>
  <c r="AC8" i="13"/>
  <c r="AC7" i="13"/>
  <c r="B8" i="13" l="1"/>
  <c r="J8" i="13"/>
  <c r="E8" i="13"/>
  <c r="G8" i="13"/>
  <c r="D8" i="13"/>
  <c r="F8" i="13"/>
  <c r="C8" i="13"/>
  <c r="A9" i="13"/>
  <c r="J9" i="13" s="1"/>
  <c r="H8" i="13"/>
  <c r="AL6" i="13"/>
  <c r="AM6" i="13"/>
  <c r="AE20" i="13"/>
  <c r="AN20" i="13"/>
  <c r="AH21" i="13"/>
  <c r="AN21" i="13"/>
  <c r="AI24" i="13"/>
  <c r="AN24" i="13"/>
  <c r="AG25" i="13"/>
  <c r="AN25" i="13"/>
  <c r="AI10" i="13"/>
  <c r="AN10" i="13"/>
  <c r="AI26" i="13"/>
  <c r="AN26" i="13"/>
  <c r="AJ27" i="13"/>
  <c r="AN27" i="13"/>
  <c r="AG9" i="13"/>
  <c r="AN9" i="13"/>
  <c r="AH12" i="13"/>
  <c r="AN12" i="13"/>
  <c r="AH28" i="13"/>
  <c r="AN28" i="13"/>
  <c r="AJ23" i="13"/>
  <c r="AN23" i="13"/>
  <c r="AI8" i="13"/>
  <c r="AJ11" i="13"/>
  <c r="AN11" i="13"/>
  <c r="AJ13" i="13"/>
  <c r="AN13" i="13"/>
  <c r="AJ29" i="13"/>
  <c r="AN29" i="13"/>
  <c r="AJ15" i="13"/>
  <c r="AN15" i="13"/>
  <c r="AJ14" i="13"/>
  <c r="AN14" i="13"/>
  <c r="AG22" i="13"/>
  <c r="AN22" i="13"/>
  <c r="AE16" i="13"/>
  <c r="AN16" i="13"/>
  <c r="AJ17" i="13"/>
  <c r="AN17" i="13"/>
  <c r="AG18" i="13"/>
  <c r="AN18" i="13"/>
  <c r="AG19" i="13"/>
  <c r="AN19" i="13"/>
  <c r="AI7" i="13"/>
  <c r="AD29" i="13"/>
  <c r="AE29" i="13"/>
  <c r="AE23" i="13"/>
  <c r="AD23" i="13"/>
  <c r="AD28" i="13"/>
  <c r="AJ19" i="13"/>
  <c r="AE28" i="13"/>
  <c r="AF28" i="13"/>
  <c r="AG28" i="13"/>
  <c r="AI12" i="13"/>
  <c r="AJ12" i="13"/>
  <c r="AH13" i="13"/>
  <c r="AI19" i="13"/>
  <c r="AD11" i="13"/>
  <c r="AI21" i="13"/>
  <c r="AE11" i="13"/>
  <c r="AF19" i="13"/>
  <c r="AF29" i="13"/>
  <c r="AJ24" i="13"/>
  <c r="AE12" i="13"/>
  <c r="AF23" i="13"/>
  <c r="AF12" i="13"/>
  <c r="AG24" i="13"/>
  <c r="AH7" i="13"/>
  <c r="AI25" i="13"/>
  <c r="AF9" i="13"/>
  <c r="AF24" i="13"/>
  <c r="AG12" i="13"/>
  <c r="AD25" i="13"/>
  <c r="AJ25" i="13"/>
  <c r="AF11" i="13"/>
  <c r="AD13" i="13"/>
  <c r="AE25" i="13"/>
  <c r="AH9" i="13"/>
  <c r="AJ26" i="13"/>
  <c r="AD8" i="13"/>
  <c r="AE13" i="13"/>
  <c r="AF25" i="13"/>
  <c r="AI9" i="13"/>
  <c r="AH27" i="13"/>
  <c r="AF13" i="13"/>
  <c r="AQ11" i="13"/>
  <c r="AG23" i="13"/>
  <c r="AH25" i="13"/>
  <c r="AD27" i="13"/>
  <c r="AG13" i="13"/>
  <c r="AE27" i="13"/>
  <c r="AJ10" i="13"/>
  <c r="AI28" i="13"/>
  <c r="AD24" i="13"/>
  <c r="AD12" i="13"/>
  <c r="AG29" i="13"/>
  <c r="AG8" i="13"/>
  <c r="AD19" i="13"/>
  <c r="AF27" i="13"/>
  <c r="AH11" i="13"/>
  <c r="AJ28" i="13"/>
  <c r="AG11" i="13"/>
  <c r="AE24" i="13"/>
  <c r="AE8" i="13"/>
  <c r="AJ9" i="13"/>
  <c r="AD9" i="13"/>
  <c r="AE19" i="13"/>
  <c r="AG27" i="13"/>
  <c r="AH29" i="13"/>
  <c r="AE9" i="13"/>
  <c r="AQ10" i="13"/>
  <c r="AQ8" i="13"/>
  <c r="AQ7" i="13"/>
  <c r="AQ12" i="13"/>
  <c r="AQ6" i="13"/>
  <c r="AI14" i="13"/>
  <c r="AD17" i="13"/>
  <c r="AD21" i="13"/>
  <c r="AI11" i="13"/>
  <c r="AJ16" i="13"/>
  <c r="AH22" i="13"/>
  <c r="AI27" i="13"/>
  <c r="AH16" i="13"/>
  <c r="AG16" i="13"/>
  <c r="AI16" i="13"/>
  <c r="AJ21" i="13"/>
  <c r="AI22" i="13"/>
  <c r="AI17" i="13"/>
  <c r="AJ22" i="13"/>
  <c r="AE17" i="13"/>
  <c r="AE21" i="13"/>
  <c r="AH17" i="13"/>
  <c r="AF17" i="13"/>
  <c r="AF21" i="13"/>
  <c r="AG17" i="13"/>
  <c r="AG21" i="13"/>
  <c r="AH23" i="13"/>
  <c r="AD10" i="13"/>
  <c r="AD22" i="13"/>
  <c r="AH18" i="13"/>
  <c r="AI23" i="13"/>
  <c r="AF16" i="13"/>
  <c r="AG20" i="13"/>
  <c r="AD14" i="13"/>
  <c r="AD18" i="13"/>
  <c r="AD26" i="13"/>
  <c r="AE10" i="13"/>
  <c r="AE18" i="13"/>
  <c r="AE26" i="13"/>
  <c r="AI18" i="13"/>
  <c r="AF10" i="13"/>
  <c r="AF14" i="13"/>
  <c r="AF18" i="13"/>
  <c r="AF22" i="13"/>
  <c r="AF26" i="13"/>
  <c r="AH8" i="13"/>
  <c r="AI13" i="13"/>
  <c r="AJ18" i="13"/>
  <c r="AH24" i="13"/>
  <c r="AI29" i="13"/>
  <c r="AF20" i="13"/>
  <c r="AE14" i="13"/>
  <c r="AE22" i="13"/>
  <c r="AG10" i="13"/>
  <c r="AG14" i="13"/>
  <c r="AG26" i="13"/>
  <c r="AH19" i="13"/>
  <c r="AD15" i="13"/>
  <c r="AH14" i="13"/>
  <c r="AG15" i="13"/>
  <c r="AH15" i="13"/>
  <c r="AI20" i="13"/>
  <c r="AE15" i="13"/>
  <c r="AH20" i="13"/>
  <c r="AD16" i="13"/>
  <c r="AD20" i="13"/>
  <c r="AH10" i="13"/>
  <c r="AI15" i="13"/>
  <c r="AJ20" i="13"/>
  <c r="AH26" i="13"/>
  <c r="AF15" i="13"/>
  <c r="AQ4" i="13"/>
  <c r="AQ5" i="13"/>
  <c r="AQ9" i="13"/>
  <c r="AF6" i="13"/>
  <c r="AD7" i="13"/>
  <c r="AE7" i="13"/>
  <c r="AG7" i="13"/>
  <c r="F9" i="13" l="1"/>
  <c r="B9" i="13"/>
  <c r="A10" i="13"/>
  <c r="F10" i="13" s="1"/>
  <c r="I9" i="13"/>
  <c r="C9" i="13"/>
  <c r="E9" i="13"/>
  <c r="G9" i="13"/>
  <c r="H9" i="13"/>
  <c r="D9" i="13"/>
  <c r="AJ8" i="13"/>
  <c r="AM8" i="13" s="1"/>
  <c r="AF8" i="13"/>
  <c r="D10" i="13"/>
  <c r="AK29" i="13"/>
  <c r="AK23" i="13"/>
  <c r="AM23" i="13"/>
  <c r="AK28" i="13"/>
  <c r="AM29" i="13"/>
  <c r="AM12" i="13"/>
  <c r="AK21" i="13"/>
  <c r="AM28" i="13"/>
  <c r="AK24" i="13"/>
  <c r="AK12" i="13"/>
  <c r="AK19" i="13"/>
  <c r="AK11" i="13"/>
  <c r="AM11" i="13"/>
  <c r="AK20" i="13"/>
  <c r="AK25" i="13"/>
  <c r="AM19" i="13"/>
  <c r="AM27" i="13"/>
  <c r="AM24" i="13"/>
  <c r="AK8" i="13"/>
  <c r="AM13" i="13"/>
  <c r="AK10" i="13"/>
  <c r="AK9" i="13"/>
  <c r="AM9" i="13"/>
  <c r="AM25" i="13"/>
  <c r="AK17" i="13"/>
  <c r="AK26" i="13"/>
  <c r="AM22" i="13"/>
  <c r="AK13" i="13"/>
  <c r="AK27" i="13"/>
  <c r="AK22" i="13"/>
  <c r="AK14" i="13"/>
  <c r="AK16" i="13"/>
  <c r="AM20" i="13"/>
  <c r="AM10" i="13"/>
  <c r="AM18" i="13"/>
  <c r="AM21" i="13"/>
  <c r="AM15" i="13"/>
  <c r="AM14" i="13"/>
  <c r="AK15" i="13"/>
  <c r="AM17" i="13"/>
  <c r="AM16" i="13"/>
  <c r="AK18" i="13"/>
  <c r="AN6" i="13"/>
  <c r="AU4" i="13"/>
  <c r="A15" i="6" s="1"/>
  <c r="AM26" i="13"/>
  <c r="AF7" i="13"/>
  <c r="AL27" i="13"/>
  <c r="AL29" i="13"/>
  <c r="AL25" i="13"/>
  <c r="AL19" i="13"/>
  <c r="AL21" i="13"/>
  <c r="AL17" i="13"/>
  <c r="AL11" i="13"/>
  <c r="AL9" i="13"/>
  <c r="AL23" i="13"/>
  <c r="AL20" i="13"/>
  <c r="AL14" i="13"/>
  <c r="AL16" i="13"/>
  <c r="AL8" i="13"/>
  <c r="AJ7" i="13"/>
  <c r="AM7" i="13" s="1"/>
  <c r="AL28" i="13"/>
  <c r="AL26" i="13"/>
  <c r="AL22" i="13"/>
  <c r="AL18" i="13"/>
  <c r="AL12" i="13"/>
  <c r="AL10" i="13"/>
  <c r="AL24" i="13"/>
  <c r="AL13" i="13"/>
  <c r="AL15" i="13"/>
  <c r="AK7" i="13"/>
  <c r="E10" i="13" l="1"/>
  <c r="I10" i="13"/>
  <c r="C10" i="13"/>
  <c r="G10" i="13"/>
  <c r="AN8" i="13"/>
  <c r="J10" i="13"/>
  <c r="B10" i="13"/>
  <c r="H10" i="13"/>
  <c r="A11" i="13"/>
  <c r="C11" i="13" s="1"/>
  <c r="AN7" i="13"/>
  <c r="AL7" i="13"/>
  <c r="G11" i="13" l="1"/>
  <c r="F11" i="13"/>
  <c r="B11" i="13"/>
  <c r="D11" i="13"/>
  <c r="J11" i="13"/>
  <c r="A12" i="13"/>
  <c r="D12" i="13" s="1"/>
  <c r="H11" i="13"/>
  <c r="I11" i="13"/>
  <c r="E11" i="13"/>
  <c r="AN4" i="13"/>
  <c r="A9" i="7" s="1"/>
  <c r="P2" i="13"/>
  <c r="O2" i="13"/>
  <c r="N2" i="13"/>
  <c r="N45" i="13" s="1"/>
  <c r="A1" i="13"/>
  <c r="O5" i="13"/>
  <c r="N4" i="13"/>
  <c r="N8" i="13"/>
  <c r="P17" i="13"/>
  <c r="O19" i="13"/>
  <c r="P4" i="13"/>
  <c r="N19" i="13"/>
  <c r="O6" i="13"/>
  <c r="O4" i="13"/>
  <c r="N5" i="13"/>
  <c r="O11" i="13"/>
  <c r="O7" i="13"/>
  <c r="N14" i="13"/>
  <c r="P19" i="13"/>
  <c r="O8" i="13"/>
  <c r="P15" i="13"/>
  <c r="P18" i="13"/>
  <c r="N6" i="13"/>
  <c r="O20" i="13"/>
  <c r="N17" i="13"/>
  <c r="O10" i="13"/>
  <c r="N20" i="13"/>
  <c r="P8" i="13"/>
  <c r="P7" i="13"/>
  <c r="P14" i="13"/>
  <c r="P10" i="13"/>
  <c r="P5" i="13"/>
  <c r="N13" i="13"/>
  <c r="P20" i="13"/>
  <c r="P13" i="13"/>
  <c r="O18" i="13"/>
  <c r="O16" i="13"/>
  <c r="P12" i="13"/>
  <c r="O9" i="13"/>
  <c r="P16" i="13"/>
  <c r="N11" i="13"/>
  <c r="N18" i="13"/>
  <c r="O13" i="13"/>
  <c r="O15" i="13"/>
  <c r="N16" i="13"/>
  <c r="N9" i="13"/>
  <c r="P9" i="13"/>
  <c r="O17" i="13"/>
  <c r="N15" i="13"/>
  <c r="O14" i="13"/>
  <c r="N7" i="13"/>
  <c r="P11" i="13"/>
  <c r="N12" i="13"/>
  <c r="O12" i="13"/>
  <c r="N10" i="13"/>
  <c r="P6" i="13"/>
  <c r="J12" i="13" l="1"/>
  <c r="G12" i="13"/>
  <c r="I12" i="13"/>
  <c r="F12" i="13"/>
  <c r="E12" i="13"/>
  <c r="B12" i="13"/>
  <c r="C12" i="13"/>
  <c r="H12" i="13"/>
  <c r="A13" i="13"/>
  <c r="A14" i="13" s="1"/>
  <c r="Y23" i="13"/>
  <c r="Q2" i="13"/>
  <c r="S13" i="13"/>
  <c r="V13" i="13" s="1"/>
  <c r="R10" i="13"/>
  <c r="U10" i="13" s="1"/>
  <c r="Q10" i="13"/>
  <c r="R18" i="13"/>
  <c r="U18" i="13" s="1"/>
  <c r="Q18" i="13"/>
  <c r="T5" i="13"/>
  <c r="W5" i="13" s="1"/>
  <c r="S18" i="13"/>
  <c r="V18" i="13" s="1"/>
  <c r="T8" i="13"/>
  <c r="W8" i="13" s="1"/>
  <c r="T13" i="13"/>
  <c r="W13" i="13" s="1"/>
  <c r="Q7" i="13"/>
  <c r="R7" i="13"/>
  <c r="U7" i="13" s="1"/>
  <c r="T10" i="13"/>
  <c r="W10" i="13" s="1"/>
  <c r="R15" i="13"/>
  <c r="U15" i="13" s="1"/>
  <c r="Q15" i="13"/>
  <c r="T18" i="13"/>
  <c r="W18" i="13" s="1"/>
  <c r="T16" i="13"/>
  <c r="W16" i="13" s="1"/>
  <c r="S10" i="13"/>
  <c r="V10" i="13" s="1"/>
  <c r="S7" i="13"/>
  <c r="V7" i="13" s="1"/>
  <c r="S15" i="13"/>
  <c r="V15" i="13" s="1"/>
  <c r="T7" i="13"/>
  <c r="W7" i="13" s="1"/>
  <c r="R12" i="13"/>
  <c r="U12" i="13" s="1"/>
  <c r="Q12" i="13"/>
  <c r="T15" i="13"/>
  <c r="W15" i="13" s="1"/>
  <c r="R20" i="13"/>
  <c r="U20" i="13" s="1"/>
  <c r="Q20" i="13"/>
  <c r="S20" i="13"/>
  <c r="V20" i="13" s="1"/>
  <c r="S12" i="13"/>
  <c r="V12" i="13" s="1"/>
  <c r="Q9" i="13"/>
  <c r="R9" i="13"/>
  <c r="U9" i="13" s="1"/>
  <c r="T12" i="13"/>
  <c r="W12" i="13" s="1"/>
  <c r="R17" i="13"/>
  <c r="U17" i="13" s="1"/>
  <c r="Q17" i="13"/>
  <c r="T20" i="13"/>
  <c r="W20" i="13" s="1"/>
  <c r="S9" i="13"/>
  <c r="V9" i="13" s="1"/>
  <c r="S17" i="13"/>
  <c r="V17" i="13" s="1"/>
  <c r="R5" i="13"/>
  <c r="U5" i="13" s="1"/>
  <c r="Q5" i="13"/>
  <c r="T17" i="13"/>
  <c r="W17" i="13" s="1"/>
  <c r="S6" i="13"/>
  <c r="V6" i="13" s="1"/>
  <c r="S14" i="13"/>
  <c r="V14" i="13" s="1"/>
  <c r="R14" i="13"/>
  <c r="U14" i="13" s="1"/>
  <c r="Q14" i="13"/>
  <c r="T6" i="13"/>
  <c r="W6" i="13" s="1"/>
  <c r="Q11" i="13"/>
  <c r="R11" i="13"/>
  <c r="U11" i="13" s="1"/>
  <c r="T14" i="13"/>
  <c r="W14" i="13" s="1"/>
  <c r="Q19" i="13"/>
  <c r="R19" i="13"/>
  <c r="U19" i="13" s="1"/>
  <c r="S5" i="13"/>
  <c r="V5" i="13" s="1"/>
  <c r="T9" i="13"/>
  <c r="W9" i="13" s="1"/>
  <c r="S11" i="13"/>
  <c r="V11" i="13" s="1"/>
  <c r="S19" i="13"/>
  <c r="V19" i="13" s="1"/>
  <c r="R13" i="13"/>
  <c r="U13" i="13" s="1"/>
  <c r="Q13" i="13"/>
  <c r="Q8" i="13"/>
  <c r="R8" i="13"/>
  <c r="U8" i="13" s="1"/>
  <c r="T11" i="13"/>
  <c r="W11" i="13" s="1"/>
  <c r="R16" i="13"/>
  <c r="U16" i="13" s="1"/>
  <c r="Q16" i="13"/>
  <c r="T19" i="13"/>
  <c r="W19" i="13" s="1"/>
  <c r="R6" i="13"/>
  <c r="U6" i="13" s="1"/>
  <c r="Q6" i="13"/>
  <c r="S8" i="13"/>
  <c r="V8" i="13" s="1"/>
  <c r="S16" i="13"/>
  <c r="V16" i="13" s="1"/>
  <c r="O21" i="13"/>
  <c r="N21" i="13"/>
  <c r="Y4" i="13"/>
  <c r="Y20" i="13"/>
  <c r="Y17" i="13"/>
  <c r="Y5" i="13"/>
  <c r="Y6" i="13"/>
  <c r="Y7" i="13"/>
  <c r="Y8" i="13"/>
  <c r="Y9" i="13"/>
  <c r="Y10" i="13"/>
  <c r="Y18" i="13"/>
  <c r="Y11" i="13"/>
  <c r="Y12" i="13"/>
  <c r="Y19" i="13"/>
  <c r="Y13" i="13"/>
  <c r="Y14" i="13"/>
  <c r="Y15" i="13"/>
  <c r="Y16" i="13"/>
  <c r="S4" i="13"/>
  <c r="V4" i="13" s="1"/>
  <c r="T4" i="13"/>
  <c r="W4" i="13" s="1"/>
  <c r="R4" i="13"/>
  <c r="U4" i="13" s="1"/>
  <c r="M1" i="13"/>
  <c r="Q4" i="13"/>
  <c r="C13" i="13" l="1"/>
  <c r="H13" i="13"/>
  <c r="D13" i="13"/>
  <c r="G13" i="13"/>
  <c r="F13" i="13"/>
  <c r="J13" i="13"/>
  <c r="B13" i="13"/>
  <c r="E13" i="13"/>
  <c r="I13" i="13"/>
  <c r="B14" i="13"/>
  <c r="G14" i="13"/>
  <c r="H14" i="13"/>
  <c r="E14" i="13"/>
  <c r="A15" i="13"/>
  <c r="I14" i="13"/>
  <c r="D14" i="13"/>
  <c r="F14" i="13"/>
  <c r="J14" i="13"/>
  <c r="C14" i="13"/>
  <c r="K4" i="13"/>
  <c r="Z20" i="13"/>
  <c r="Z19" i="13"/>
  <c r="Z6" i="13"/>
  <c r="Z7" i="13"/>
  <c r="Z17" i="13"/>
  <c r="Z10" i="13"/>
  <c r="Z9" i="13"/>
  <c r="Z8" i="13"/>
  <c r="Z4" i="13"/>
  <c r="Z15" i="13"/>
  <c r="Z14" i="13"/>
  <c r="Z12" i="13"/>
  <c r="Z16" i="13"/>
  <c r="Z11" i="13"/>
  <c r="Z13" i="13"/>
  <c r="Z18" i="13"/>
  <c r="Z5" i="13"/>
  <c r="H15" i="13" l="1"/>
  <c r="E15" i="13"/>
  <c r="C15" i="13"/>
  <c r="A16" i="13"/>
  <c r="G15" i="13"/>
  <c r="D15" i="13"/>
  <c r="B15" i="13"/>
  <c r="I15" i="13"/>
  <c r="F15" i="13"/>
  <c r="J15" i="13"/>
  <c r="K5" i="13"/>
  <c r="O24" i="13"/>
  <c r="X24" i="13"/>
  <c r="X40" i="13"/>
  <c r="X38" i="13"/>
  <c r="X36" i="13"/>
  <c r="X34" i="13"/>
  <c r="X32" i="13"/>
  <c r="X30" i="13"/>
  <c r="X28" i="13"/>
  <c r="X26" i="13"/>
  <c r="U32" i="13"/>
  <c r="N54" i="13" s="1"/>
  <c r="W40" i="13"/>
  <c r="W38" i="13"/>
  <c r="W36" i="13"/>
  <c r="W34" i="13"/>
  <c r="W32" i="13"/>
  <c r="W30" i="13"/>
  <c r="W28" i="13"/>
  <c r="V40" i="13"/>
  <c r="V38" i="13"/>
  <c r="V36" i="13"/>
  <c r="V34" i="13"/>
  <c r="V32" i="13"/>
  <c r="V30" i="13"/>
  <c r="V28" i="13"/>
  <c r="S25" i="13"/>
  <c r="U40" i="13"/>
  <c r="N62" i="13" s="1"/>
  <c r="U38" i="13"/>
  <c r="N60" i="13" s="1"/>
  <c r="U36" i="13"/>
  <c r="N58" i="13" s="1"/>
  <c r="U34" i="13"/>
  <c r="N56" i="13" s="1"/>
  <c r="U30" i="13"/>
  <c r="N52" i="13" s="1"/>
  <c r="T40" i="13"/>
  <c r="T38" i="13"/>
  <c r="T36" i="13"/>
  <c r="T34" i="13"/>
  <c r="T32" i="13"/>
  <c r="T30" i="13"/>
  <c r="T28" i="13"/>
  <c r="T26" i="13"/>
  <c r="S40" i="13"/>
  <c r="S38" i="13"/>
  <c r="S36" i="13"/>
  <c r="S34" i="13"/>
  <c r="S32" i="13"/>
  <c r="S30" i="13"/>
  <c r="S28" i="13"/>
  <c r="S26" i="13"/>
  <c r="R40" i="13"/>
  <c r="O62" i="13" s="1"/>
  <c r="R38" i="13"/>
  <c r="O60" i="13" s="1"/>
  <c r="R36" i="13"/>
  <c r="O58" i="13" s="1"/>
  <c r="R34" i="13"/>
  <c r="O56" i="13" s="1"/>
  <c r="R32" i="13"/>
  <c r="O54" i="13" s="1"/>
  <c r="R30" i="13"/>
  <c r="O52" i="13" s="1"/>
  <c r="R28" i="13"/>
  <c r="O50" i="13" s="1"/>
  <c r="R26" i="13"/>
  <c r="O48" i="13" s="1"/>
  <c r="Q40" i="13"/>
  <c r="Q38" i="13"/>
  <c r="Q36" i="13"/>
  <c r="Q34" i="13"/>
  <c r="Q32" i="13"/>
  <c r="Q30" i="13"/>
  <c r="Q28" i="13"/>
  <c r="Q26" i="13"/>
  <c r="S27" i="13"/>
  <c r="X39" i="13"/>
  <c r="X37" i="13"/>
  <c r="X35" i="13"/>
  <c r="X33" i="13"/>
  <c r="X31" i="13"/>
  <c r="X29" i="13"/>
  <c r="X27" i="13"/>
  <c r="X25" i="13"/>
  <c r="V25" i="13"/>
  <c r="T25" i="13"/>
  <c r="W39" i="13"/>
  <c r="W37" i="13"/>
  <c r="W35" i="13"/>
  <c r="W33" i="13"/>
  <c r="W31" i="13"/>
  <c r="W29" i="13"/>
  <c r="W27" i="13"/>
  <c r="W25" i="13"/>
  <c r="U25" i="13"/>
  <c r="N47" i="13" s="1"/>
  <c r="S29" i="13"/>
  <c r="V39" i="13"/>
  <c r="V37" i="13"/>
  <c r="V35" i="13"/>
  <c r="V33" i="13"/>
  <c r="V31" i="13"/>
  <c r="V29" i="13"/>
  <c r="V27" i="13"/>
  <c r="U39" i="13"/>
  <c r="N61" i="13" s="1"/>
  <c r="U37" i="13"/>
  <c r="N59" i="13" s="1"/>
  <c r="U35" i="13"/>
  <c r="N57" i="13" s="1"/>
  <c r="U33" i="13"/>
  <c r="N55" i="13" s="1"/>
  <c r="U31" i="13"/>
  <c r="N53" i="13" s="1"/>
  <c r="U29" i="13"/>
  <c r="N51" i="13" s="1"/>
  <c r="U27" i="13"/>
  <c r="N49" i="13" s="1"/>
  <c r="T39" i="13"/>
  <c r="T37" i="13"/>
  <c r="T35" i="13"/>
  <c r="T33" i="13"/>
  <c r="T31" i="13"/>
  <c r="T29" i="13"/>
  <c r="T27" i="13"/>
  <c r="S39" i="13"/>
  <c r="S37" i="13"/>
  <c r="S35" i="13"/>
  <c r="S33" i="13"/>
  <c r="S31" i="13"/>
  <c r="R39" i="13"/>
  <c r="O61" i="13" s="1"/>
  <c r="R37" i="13"/>
  <c r="O59" i="13" s="1"/>
  <c r="R35" i="13"/>
  <c r="O57" i="13" s="1"/>
  <c r="R33" i="13"/>
  <c r="O55" i="13" s="1"/>
  <c r="R31" i="13"/>
  <c r="O53" i="13" s="1"/>
  <c r="R29" i="13"/>
  <c r="O51" i="13" s="1"/>
  <c r="R27" i="13"/>
  <c r="O49" i="13" s="1"/>
  <c r="R25" i="13"/>
  <c r="O47" i="13" s="1"/>
  <c r="V26" i="13"/>
  <c r="U28" i="13"/>
  <c r="N50" i="13" s="1"/>
  <c r="Q39" i="13"/>
  <c r="Q37" i="13"/>
  <c r="Q35" i="13"/>
  <c r="Q33" i="13"/>
  <c r="Q31" i="13"/>
  <c r="Q29" i="13"/>
  <c r="Q27" i="13"/>
  <c r="Q25" i="13"/>
  <c r="W26" i="13"/>
  <c r="U26" i="13"/>
  <c r="N48" i="13" s="1"/>
  <c r="W24" i="13"/>
  <c r="V24" i="13"/>
  <c r="T24" i="13"/>
  <c r="U24" i="13"/>
  <c r="N46" i="13" s="1"/>
  <c r="S24" i="13"/>
  <c r="R24" i="13"/>
  <c r="O46" i="13" s="1"/>
  <c r="Q24" i="13"/>
  <c r="P40" i="13"/>
  <c r="O35" i="13"/>
  <c r="N30" i="13"/>
  <c r="O40" i="13"/>
  <c r="N35" i="13"/>
  <c r="P29" i="13"/>
  <c r="O30" i="13"/>
  <c r="N40" i="13"/>
  <c r="Y40" i="13" s="1"/>
  <c r="P34" i="13"/>
  <c r="O29" i="13"/>
  <c r="P39" i="13"/>
  <c r="O34" i="13"/>
  <c r="N29" i="13"/>
  <c r="O39" i="13"/>
  <c r="N34" i="13"/>
  <c r="P28" i="13"/>
  <c r="P35" i="13"/>
  <c r="N39" i="13"/>
  <c r="Y39" i="13" s="1"/>
  <c r="P33" i="13"/>
  <c r="O28" i="13"/>
  <c r="P38" i="13"/>
  <c r="O33" i="13"/>
  <c r="N28" i="13"/>
  <c r="N25" i="13"/>
  <c r="O38" i="13"/>
  <c r="N33" i="13"/>
  <c r="P27" i="13"/>
  <c r="N38" i="13"/>
  <c r="Y38" i="13" s="1"/>
  <c r="P32" i="13"/>
  <c r="O27" i="13"/>
  <c r="P37" i="13"/>
  <c r="O32" i="13"/>
  <c r="N27" i="13"/>
  <c r="O37" i="13"/>
  <c r="N32" i="13"/>
  <c r="P26" i="13"/>
  <c r="N37" i="13"/>
  <c r="Y37" i="13" s="1"/>
  <c r="P31" i="13"/>
  <c r="O26" i="13"/>
  <c r="P36" i="13"/>
  <c r="O31" i="13"/>
  <c r="N26" i="13"/>
  <c r="O25" i="13"/>
  <c r="O36" i="13"/>
  <c r="N31" i="13"/>
  <c r="P25" i="13"/>
  <c r="N36" i="13"/>
  <c r="Y36" i="13" s="1"/>
  <c r="P30" i="13"/>
  <c r="P24" i="13"/>
  <c r="N24" i="13"/>
  <c r="M40" i="13"/>
  <c r="M37" i="13"/>
  <c r="M39" i="13"/>
  <c r="M38" i="13"/>
  <c r="M27" i="13"/>
  <c r="M25" i="13"/>
  <c r="M36" i="13"/>
  <c r="M29" i="13"/>
  <c r="M35" i="13"/>
  <c r="M30" i="13"/>
  <c r="M34" i="13"/>
  <c r="M31" i="13"/>
  <c r="M28" i="13"/>
  <c r="M33" i="13"/>
  <c r="M32" i="13"/>
  <c r="M26" i="13"/>
  <c r="M24" i="13"/>
  <c r="B16" i="13" l="1"/>
  <c r="I16" i="13"/>
  <c r="G16" i="13"/>
  <c r="E16" i="13"/>
  <c r="A17" i="13"/>
  <c r="H16" i="13"/>
  <c r="F16" i="13"/>
  <c r="C16" i="13"/>
  <c r="J16" i="13"/>
  <c r="D16" i="13"/>
  <c r="Y31" i="13"/>
  <c r="Y33" i="13"/>
  <c r="Y26" i="13"/>
  <c r="Y27" i="13"/>
  <c r="Y29" i="13"/>
  <c r="Y28" i="13"/>
  <c r="Y35" i="13"/>
  <c r="Y32" i="13"/>
  <c r="Y30" i="13"/>
  <c r="Y34" i="13"/>
  <c r="K6" i="13"/>
  <c r="Y25" i="13"/>
  <c r="Y24" i="13"/>
  <c r="M50" i="13"/>
  <c r="M48" i="13"/>
  <c r="M53" i="13"/>
  <c r="M56" i="13"/>
  <c r="M60" i="13"/>
  <c r="M46" i="13"/>
  <c r="M62" i="13"/>
  <c r="M57" i="13"/>
  <c r="M59" i="13"/>
  <c r="M61" i="13"/>
  <c r="M58" i="13"/>
  <c r="M55" i="13"/>
  <c r="M51" i="13"/>
  <c r="M52" i="13"/>
  <c r="M47" i="13"/>
  <c r="M49" i="13"/>
  <c r="M54" i="13"/>
  <c r="D17" i="13" l="1"/>
  <c r="G17" i="13"/>
  <c r="H17" i="13"/>
  <c r="B17" i="13"/>
  <c r="A18" i="13"/>
  <c r="J17" i="13"/>
  <c r="E17" i="13"/>
  <c r="C17" i="13"/>
  <c r="F17" i="13"/>
  <c r="I17" i="13"/>
  <c r="K7" i="13"/>
  <c r="Y22" i="13"/>
  <c r="A6" i="8" s="1"/>
  <c r="J18" i="13" l="1"/>
  <c r="F18" i="13"/>
  <c r="E18" i="13"/>
  <c r="C18" i="13"/>
  <c r="I18" i="13"/>
  <c r="G18" i="13"/>
  <c r="D18" i="13"/>
  <c r="A19" i="13"/>
  <c r="H18" i="13"/>
  <c r="B18" i="13"/>
  <c r="K8" i="13"/>
  <c r="C19" i="13" l="1"/>
  <c r="I19" i="13"/>
  <c r="G19" i="13"/>
  <c r="E19" i="13"/>
  <c r="A20" i="13"/>
  <c r="H19" i="13"/>
  <c r="F19" i="13"/>
  <c r="D19" i="13"/>
  <c r="J19" i="13"/>
  <c r="B19" i="13"/>
  <c r="K9" i="13"/>
  <c r="F20" i="13" l="1"/>
  <c r="C20" i="13"/>
  <c r="B20" i="13"/>
  <c r="J20" i="13"/>
  <c r="A21" i="13"/>
  <c r="G20" i="13"/>
  <c r="E20" i="13"/>
  <c r="D20" i="13"/>
  <c r="I20" i="13"/>
  <c r="H20" i="13"/>
  <c r="K10" i="13"/>
  <c r="A22" i="13" l="1"/>
  <c r="H21" i="13"/>
  <c r="D21" i="13"/>
  <c r="J21" i="13"/>
  <c r="G21" i="13"/>
  <c r="F21" i="13"/>
  <c r="C21" i="13"/>
  <c r="I21" i="13"/>
  <c r="E21" i="13"/>
  <c r="B21" i="13"/>
  <c r="K11" i="13"/>
  <c r="B22" i="13" l="1"/>
  <c r="J22" i="13"/>
  <c r="H22" i="13"/>
  <c r="D22" i="13"/>
  <c r="A23" i="13"/>
  <c r="E22" i="13"/>
  <c r="I22" i="13"/>
  <c r="G22" i="13"/>
  <c r="F22" i="13"/>
  <c r="C22" i="13"/>
  <c r="K12" i="13"/>
  <c r="H23" i="13" l="1"/>
  <c r="D23" i="13"/>
  <c r="C23" i="13"/>
  <c r="A24" i="13"/>
  <c r="G23" i="13"/>
  <c r="E23" i="13"/>
  <c r="B23" i="13"/>
  <c r="I23" i="13"/>
  <c r="F23" i="13"/>
  <c r="J23" i="13"/>
  <c r="K13" i="13"/>
  <c r="A25" i="13" l="1"/>
  <c r="H24" i="13"/>
  <c r="G24" i="13"/>
  <c r="E24" i="13"/>
  <c r="J24" i="13"/>
  <c r="B24" i="13"/>
  <c r="F24" i="13"/>
  <c r="D24" i="13"/>
  <c r="I24" i="13"/>
  <c r="C24" i="13"/>
  <c r="K14" i="13"/>
  <c r="D25" i="13" l="1"/>
  <c r="F25" i="13"/>
  <c r="G25" i="13"/>
  <c r="C25" i="13"/>
  <c r="A26" i="13"/>
  <c r="I25" i="13"/>
  <c r="E25" i="13"/>
  <c r="B25" i="13"/>
  <c r="J25" i="13"/>
  <c r="H25" i="13"/>
  <c r="K15" i="13"/>
  <c r="J26" i="13" l="1"/>
  <c r="G26" i="13"/>
  <c r="E26" i="13"/>
  <c r="B26" i="13"/>
  <c r="I26" i="13"/>
  <c r="F26" i="13"/>
  <c r="C26" i="13"/>
  <c r="H26" i="13"/>
  <c r="D26" i="13"/>
  <c r="A27" i="13"/>
  <c r="K16" i="13"/>
  <c r="C27" i="13" l="1"/>
  <c r="J27" i="13"/>
  <c r="F27" i="13"/>
  <c r="B27" i="13"/>
  <c r="I27" i="13"/>
  <c r="G27" i="13"/>
  <c r="D27" i="13"/>
  <c r="A28" i="13"/>
  <c r="H27" i="13"/>
  <c r="E27" i="13"/>
  <c r="K17" i="13"/>
  <c r="F28" i="13" l="1"/>
  <c r="C28" i="13"/>
  <c r="B28" i="13"/>
  <c r="J28" i="13"/>
  <c r="E28" i="13"/>
  <c r="I28" i="13"/>
  <c r="A29" i="13"/>
  <c r="H28" i="13"/>
  <c r="D28" i="13"/>
  <c r="G28" i="13"/>
  <c r="K18" i="13"/>
  <c r="A30" i="13" l="1"/>
  <c r="G29" i="13"/>
  <c r="F29" i="13"/>
  <c r="D29" i="13"/>
  <c r="B29" i="13"/>
  <c r="J29" i="13"/>
  <c r="H29" i="13"/>
  <c r="E29" i="13"/>
  <c r="C29" i="13"/>
  <c r="I29" i="13"/>
  <c r="K19" i="13"/>
  <c r="B30" i="13" l="1"/>
  <c r="I30" i="13"/>
  <c r="G30" i="13"/>
  <c r="C30" i="13"/>
  <c r="D30" i="13"/>
  <c r="J30" i="13"/>
  <c r="H30" i="13"/>
  <c r="F30" i="13"/>
  <c r="A31" i="13"/>
  <c r="E30" i="13"/>
  <c r="K20" i="13"/>
  <c r="H31" i="13" l="1"/>
  <c r="D31" i="13"/>
  <c r="C31" i="13"/>
  <c r="G31" i="13"/>
  <c r="E31" i="13"/>
  <c r="B31" i="13"/>
  <c r="A32" i="13"/>
  <c r="F31" i="13"/>
  <c r="I31" i="13"/>
  <c r="J31" i="13"/>
  <c r="K21" i="13"/>
  <c r="A33" i="13" l="1"/>
  <c r="H32" i="13"/>
  <c r="G32" i="13"/>
  <c r="E32" i="13"/>
  <c r="C32" i="13"/>
  <c r="J32" i="13"/>
  <c r="F32" i="13"/>
  <c r="D32" i="13"/>
  <c r="I32" i="13"/>
  <c r="B32" i="13"/>
  <c r="K22" i="13"/>
  <c r="D33" i="13" l="1"/>
  <c r="G33" i="13"/>
  <c r="J33" i="13"/>
  <c r="C33" i="13"/>
  <c r="F33" i="13"/>
  <c r="A34" i="13"/>
  <c r="E33" i="13"/>
  <c r="B33" i="13"/>
  <c r="I33" i="13"/>
  <c r="H33" i="13"/>
  <c r="K23" i="13"/>
  <c r="J34" i="13" l="1"/>
  <c r="G34" i="13"/>
  <c r="E34" i="13"/>
  <c r="C34" i="13"/>
  <c r="A35" i="13"/>
  <c r="I34" i="13"/>
  <c r="F34" i="13"/>
  <c r="D34" i="13"/>
  <c r="H34" i="13"/>
  <c r="B34" i="13"/>
  <c r="K24" i="13"/>
  <c r="A36" i="13" l="1"/>
  <c r="I35" i="13"/>
  <c r="B35" i="13"/>
  <c r="C35" i="13"/>
  <c r="F35" i="13"/>
  <c r="J35" i="13"/>
  <c r="G35" i="13"/>
  <c r="D35" i="13"/>
  <c r="H35" i="13"/>
  <c r="E35" i="13"/>
  <c r="K25" i="13"/>
  <c r="F36" i="13" l="1"/>
  <c r="C36" i="13"/>
  <c r="A37" i="13"/>
  <c r="J36" i="13"/>
  <c r="E36" i="13"/>
  <c r="B36" i="13"/>
  <c r="H36" i="13"/>
  <c r="G36" i="13"/>
  <c r="D36" i="13"/>
  <c r="I36" i="13"/>
  <c r="K26" i="13"/>
  <c r="A38" i="13" l="1"/>
  <c r="I37" i="13"/>
  <c r="F37" i="13"/>
  <c r="E37" i="13"/>
  <c r="J37" i="13"/>
  <c r="H37" i="13"/>
  <c r="G37" i="13"/>
  <c r="D37" i="13"/>
  <c r="B37" i="13"/>
  <c r="C37" i="13"/>
  <c r="K27" i="13"/>
  <c r="B38" i="13" l="1"/>
  <c r="A39" i="13"/>
  <c r="I38" i="13"/>
  <c r="H38" i="13"/>
  <c r="C38" i="13"/>
  <c r="E38" i="13"/>
  <c r="J38" i="13"/>
  <c r="D38" i="13"/>
  <c r="G38" i="13"/>
  <c r="F38" i="13"/>
  <c r="K28" i="13"/>
  <c r="H39" i="13" l="1"/>
  <c r="E39" i="13"/>
  <c r="B39" i="13"/>
  <c r="J39" i="13"/>
  <c r="G39" i="13"/>
  <c r="D39" i="13"/>
  <c r="A40" i="13"/>
  <c r="F39" i="13"/>
  <c r="C39" i="13"/>
  <c r="I39" i="13"/>
  <c r="K29" i="13"/>
  <c r="A41" i="13" l="1"/>
  <c r="H40" i="13"/>
  <c r="E40" i="13"/>
  <c r="B40" i="13"/>
  <c r="J40" i="13"/>
  <c r="G40" i="13"/>
  <c r="F40" i="13"/>
  <c r="C40" i="13"/>
  <c r="I40" i="13"/>
  <c r="D40" i="13"/>
  <c r="K30" i="13"/>
  <c r="D41" i="13" l="1"/>
  <c r="G41" i="13"/>
  <c r="J41" i="13"/>
  <c r="H41" i="13"/>
  <c r="C41" i="13"/>
  <c r="F41" i="13"/>
  <c r="A42" i="13"/>
  <c r="I41" i="13"/>
  <c r="B41" i="13"/>
  <c r="E41" i="13"/>
  <c r="K31" i="13"/>
  <c r="J42" i="13" l="1"/>
  <c r="G42" i="13"/>
  <c r="D42" i="13"/>
  <c r="B42" i="13"/>
  <c r="I42" i="13"/>
  <c r="F42" i="13"/>
  <c r="E42" i="13"/>
  <c r="A43" i="13"/>
  <c r="H42" i="13"/>
  <c r="C42" i="13"/>
  <c r="K32" i="13"/>
  <c r="A44" i="13" l="1"/>
  <c r="C43" i="13"/>
  <c r="F43" i="13"/>
  <c r="J43" i="13"/>
  <c r="H43" i="13"/>
  <c r="G43" i="13"/>
  <c r="E43" i="13"/>
  <c r="I43" i="13"/>
  <c r="B43" i="13"/>
  <c r="D43" i="13"/>
  <c r="K33" i="13"/>
  <c r="F44" i="13" l="1"/>
  <c r="C44" i="13"/>
  <c r="H44" i="13"/>
  <c r="J44" i="13"/>
  <c r="G44" i="13"/>
  <c r="E44" i="13"/>
  <c r="B44" i="13"/>
  <c r="I44" i="13"/>
  <c r="D44" i="13"/>
  <c r="A45" i="13"/>
  <c r="K34" i="13"/>
  <c r="A46" i="13" l="1"/>
  <c r="H45" i="13"/>
  <c r="F45" i="13"/>
  <c r="E45" i="13"/>
  <c r="C45" i="13"/>
  <c r="J45" i="13"/>
  <c r="G45" i="13"/>
  <c r="D45" i="13"/>
  <c r="I45" i="13"/>
  <c r="B45" i="13"/>
  <c r="K35" i="13"/>
  <c r="B46" i="13" l="1"/>
  <c r="J46" i="13"/>
  <c r="G46" i="13"/>
  <c r="D46" i="13"/>
  <c r="E46" i="13"/>
  <c r="I46" i="13"/>
  <c r="H46" i="13"/>
  <c r="F46" i="13"/>
  <c r="C46" i="13"/>
  <c r="A47" i="13"/>
  <c r="K36" i="13"/>
  <c r="H47" i="13" l="1"/>
  <c r="E47" i="13"/>
  <c r="A48" i="13"/>
  <c r="D47" i="13"/>
  <c r="B47" i="13"/>
  <c r="I47" i="13"/>
  <c r="G47" i="13"/>
  <c r="C47" i="13"/>
  <c r="J47" i="13"/>
  <c r="F47" i="13"/>
  <c r="K37" i="13"/>
  <c r="A49" i="13" l="1"/>
  <c r="H48" i="13"/>
  <c r="E48" i="13"/>
  <c r="C48" i="13"/>
  <c r="J48" i="13"/>
  <c r="G48" i="13"/>
  <c r="F48" i="13"/>
  <c r="D48" i="13"/>
  <c r="B48" i="13"/>
  <c r="I48" i="13"/>
  <c r="K38" i="13"/>
  <c r="D49" i="13" l="1"/>
  <c r="F49" i="13"/>
  <c r="I49" i="13"/>
  <c r="H49" i="13"/>
  <c r="C49" i="13"/>
  <c r="A50" i="13"/>
  <c r="G49" i="13"/>
  <c r="B49" i="13"/>
  <c r="J49" i="13"/>
  <c r="E49" i="13"/>
  <c r="K39" i="13"/>
  <c r="J50" i="13" l="1"/>
  <c r="G50" i="13"/>
  <c r="E50" i="13"/>
  <c r="C50" i="13"/>
  <c r="I50" i="13"/>
  <c r="F50" i="13"/>
  <c r="D50" i="13"/>
  <c r="B50" i="13"/>
  <c r="H50" i="13"/>
  <c r="A51" i="13"/>
  <c r="K40" i="13"/>
  <c r="C51" i="13" l="1"/>
  <c r="J51" i="13"/>
  <c r="G51" i="13"/>
  <c r="A52" i="13"/>
  <c r="I51" i="13"/>
  <c r="H51" i="13"/>
  <c r="E51" i="13"/>
  <c r="B51" i="13"/>
  <c r="F51" i="13"/>
  <c r="D51" i="13"/>
  <c r="K41" i="13"/>
  <c r="F52" i="13" l="1"/>
  <c r="C52" i="13"/>
  <c r="H52" i="13"/>
  <c r="I52" i="13"/>
  <c r="G52" i="13"/>
  <c r="E52" i="13"/>
  <c r="B52" i="13"/>
  <c r="J52" i="13"/>
  <c r="D52" i="13"/>
  <c r="A53" i="13"/>
  <c r="K42" i="13"/>
  <c r="A54" i="13" l="1"/>
  <c r="G53" i="13"/>
  <c r="E53" i="13"/>
  <c r="J53" i="13"/>
  <c r="H53" i="13"/>
  <c r="F53" i="13"/>
  <c r="C53" i="13"/>
  <c r="I53" i="13"/>
  <c r="D53" i="13"/>
  <c r="B53" i="13"/>
  <c r="K43" i="13"/>
  <c r="B54" i="13" l="1"/>
  <c r="J54" i="13"/>
  <c r="H54" i="13"/>
  <c r="G54" i="13"/>
  <c r="C54" i="13"/>
  <c r="D54" i="13"/>
  <c r="I54" i="13"/>
  <c r="F54" i="13"/>
  <c r="A55" i="13"/>
  <c r="E54" i="13"/>
  <c r="K44" i="13"/>
  <c r="H55" i="13" l="1"/>
  <c r="E55" i="13"/>
  <c r="J55" i="13"/>
  <c r="G55" i="13"/>
  <c r="D55" i="13"/>
  <c r="B55" i="13"/>
  <c r="F55" i="13"/>
  <c r="C55" i="13"/>
  <c r="A56" i="13"/>
  <c r="I55" i="13"/>
  <c r="K45" i="13"/>
  <c r="A57" i="13" l="1"/>
  <c r="H56" i="13"/>
  <c r="E56" i="13"/>
  <c r="B56" i="13"/>
  <c r="J56" i="13"/>
  <c r="G56" i="13"/>
  <c r="F56" i="13"/>
  <c r="D56" i="13"/>
  <c r="I56" i="13"/>
  <c r="C56" i="13"/>
  <c r="K46" i="13"/>
  <c r="D57" i="13" l="1"/>
  <c r="F57" i="13"/>
  <c r="A58" i="13"/>
  <c r="I57" i="13"/>
  <c r="E57" i="13"/>
  <c r="C57" i="13"/>
  <c r="G57" i="13"/>
  <c r="J57" i="13"/>
  <c r="H57" i="13"/>
  <c r="B57" i="13"/>
  <c r="K47" i="13"/>
  <c r="J58" i="13" l="1"/>
  <c r="G58" i="13"/>
  <c r="D58" i="13"/>
  <c r="A59" i="13"/>
  <c r="I58" i="13"/>
  <c r="F58" i="13"/>
  <c r="E58" i="13"/>
  <c r="B58" i="13"/>
  <c r="H58" i="13"/>
  <c r="C58" i="13"/>
  <c r="K48" i="13"/>
  <c r="A60" i="13" l="1"/>
  <c r="C59" i="13"/>
  <c r="G59" i="13"/>
  <c r="F59" i="13"/>
  <c r="E59" i="13"/>
  <c r="J59" i="13"/>
  <c r="H59" i="13"/>
  <c r="B59" i="13"/>
  <c r="D59" i="13"/>
  <c r="I59" i="13"/>
  <c r="K49" i="13"/>
  <c r="F60" i="13" l="1"/>
  <c r="C60" i="13"/>
  <c r="B60" i="13"/>
  <c r="J60" i="13"/>
  <c r="G60" i="13"/>
  <c r="E60" i="13"/>
  <c r="H60" i="13"/>
  <c r="A61" i="13"/>
  <c r="I60" i="13"/>
  <c r="D60" i="13"/>
  <c r="K50" i="13"/>
  <c r="A62" i="13" l="1"/>
  <c r="I61" i="13"/>
  <c r="G61" i="13"/>
  <c r="E61" i="13"/>
  <c r="B61" i="13"/>
  <c r="J61" i="13"/>
  <c r="H61" i="13"/>
  <c r="F61" i="13"/>
  <c r="D61" i="13"/>
  <c r="C61" i="13"/>
  <c r="K51" i="13"/>
  <c r="B62" i="13" l="1"/>
  <c r="A63" i="13"/>
  <c r="J62" i="13"/>
  <c r="H62" i="13"/>
  <c r="F62" i="13"/>
  <c r="C62" i="13"/>
  <c r="E62" i="13"/>
  <c r="G62" i="13"/>
  <c r="D62" i="13"/>
  <c r="I62" i="13"/>
  <c r="K52" i="13"/>
  <c r="H63" i="13" l="1"/>
  <c r="F63" i="13"/>
  <c r="A64" i="13"/>
  <c r="E63" i="13"/>
  <c r="C63" i="13"/>
  <c r="I63" i="13"/>
  <c r="G63" i="13"/>
  <c r="D63" i="13"/>
  <c r="B63" i="13"/>
  <c r="J63" i="13"/>
  <c r="K53" i="13"/>
  <c r="K63" i="13" l="1"/>
  <c r="A65" i="13"/>
  <c r="I64" i="13"/>
  <c r="H64" i="13"/>
  <c r="G64" i="13"/>
  <c r="E64" i="13"/>
  <c r="C64" i="13"/>
  <c r="J64" i="13"/>
  <c r="D64" i="13"/>
  <c r="B64" i="13"/>
  <c r="F64" i="13"/>
  <c r="K54" i="13"/>
  <c r="D65" i="13" l="1"/>
  <c r="B65" i="13"/>
  <c r="A66" i="13"/>
  <c r="F65" i="13"/>
  <c r="H65" i="13"/>
  <c r="C65" i="13"/>
  <c r="J65" i="13"/>
  <c r="I65" i="13"/>
  <c r="G65" i="13"/>
  <c r="E65" i="13"/>
  <c r="K55" i="13"/>
  <c r="J66" i="13" l="1"/>
  <c r="H66" i="13"/>
  <c r="F66" i="13"/>
  <c r="D66" i="13"/>
  <c r="B66" i="13"/>
  <c r="I66" i="13"/>
  <c r="G66" i="13"/>
  <c r="E66" i="13"/>
  <c r="C66" i="13"/>
  <c r="A67" i="13"/>
  <c r="K56" i="13"/>
  <c r="A68" i="13" l="1"/>
  <c r="H67" i="13"/>
  <c r="G67" i="13"/>
  <c r="F67" i="13"/>
  <c r="B67" i="13"/>
  <c r="J67" i="13"/>
  <c r="C67" i="13"/>
  <c r="E67" i="13"/>
  <c r="D67" i="13"/>
  <c r="I67" i="13"/>
  <c r="K57" i="13"/>
  <c r="F68" i="13" l="1"/>
  <c r="C68" i="13"/>
  <c r="I68" i="13"/>
  <c r="G68" i="13"/>
  <c r="E68" i="13"/>
  <c r="B68" i="13"/>
  <c r="H68" i="13"/>
  <c r="J68" i="13"/>
  <c r="D68" i="13"/>
  <c r="A69" i="13"/>
  <c r="K58" i="13"/>
  <c r="A70" i="13" l="1"/>
  <c r="H69" i="13"/>
  <c r="G69" i="13"/>
  <c r="E69" i="13"/>
  <c r="C69" i="13"/>
  <c r="J69" i="13"/>
  <c r="F69" i="13"/>
  <c r="D69" i="13"/>
  <c r="B69" i="13"/>
  <c r="I69" i="13"/>
  <c r="K59" i="13"/>
  <c r="B70" i="13" l="1"/>
  <c r="A71" i="13"/>
  <c r="I70" i="13"/>
  <c r="G70" i="13"/>
  <c r="C70" i="13"/>
  <c r="E70" i="13"/>
  <c r="J70" i="13"/>
  <c r="H70" i="13"/>
  <c r="D70" i="13"/>
  <c r="F70" i="13"/>
  <c r="K60" i="13"/>
  <c r="H71" i="13" l="1"/>
  <c r="E71" i="13"/>
  <c r="C71" i="13"/>
  <c r="B71" i="13"/>
  <c r="I71" i="13"/>
  <c r="G71" i="13"/>
  <c r="D71" i="13"/>
  <c r="J71" i="13"/>
  <c r="A72" i="13"/>
  <c r="F71" i="13"/>
  <c r="K61" i="13"/>
  <c r="A73" i="13" l="1"/>
  <c r="H72" i="13"/>
  <c r="G72" i="13"/>
  <c r="E72" i="13"/>
  <c r="C72" i="13"/>
  <c r="J72" i="13"/>
  <c r="F72" i="13"/>
  <c r="D72" i="13"/>
  <c r="I72" i="13"/>
  <c r="B72" i="13"/>
  <c r="K62" i="13"/>
  <c r="D73" i="13" l="1"/>
  <c r="G73" i="13"/>
  <c r="I73" i="13"/>
  <c r="C73" i="13"/>
  <c r="F73" i="13"/>
  <c r="J73" i="13"/>
  <c r="H73" i="13"/>
  <c r="B73" i="13"/>
  <c r="A74" i="13"/>
  <c r="E73" i="13"/>
  <c r="K64" i="13"/>
  <c r="J74" i="13" l="1"/>
  <c r="G74" i="13"/>
  <c r="D74" i="13"/>
  <c r="C74" i="13"/>
  <c r="I74" i="13"/>
  <c r="F74" i="13"/>
  <c r="E74" i="13"/>
  <c r="B74" i="13"/>
  <c r="H74" i="13"/>
  <c r="A75" i="13"/>
  <c r="K65" i="13"/>
  <c r="B75" i="13" l="1"/>
  <c r="I75" i="13"/>
  <c r="G75" i="13"/>
  <c r="E75" i="13"/>
  <c r="D75" i="13"/>
  <c r="A76" i="13"/>
  <c r="H75" i="13"/>
  <c r="F75" i="13"/>
  <c r="C75" i="13"/>
  <c r="J75" i="13"/>
  <c r="K66" i="13"/>
  <c r="F76" i="13" l="1"/>
  <c r="H76" i="13"/>
  <c r="I76" i="13"/>
  <c r="G76" i="13"/>
  <c r="E76" i="13"/>
  <c r="C76" i="13"/>
  <c r="B76" i="13"/>
  <c r="J76" i="13"/>
  <c r="D76" i="13"/>
  <c r="A77" i="13"/>
  <c r="K67" i="13"/>
  <c r="A78" i="13" l="1"/>
  <c r="H77" i="13"/>
  <c r="F77" i="13"/>
  <c r="D77" i="13"/>
  <c r="B77" i="13"/>
  <c r="J77" i="13"/>
  <c r="G77" i="13"/>
  <c r="E77" i="13"/>
  <c r="C77" i="13"/>
  <c r="I77" i="13"/>
  <c r="K68" i="13"/>
  <c r="B78" i="13" l="1"/>
  <c r="J78" i="13"/>
  <c r="H78" i="13"/>
  <c r="D78" i="13"/>
  <c r="A79" i="13"/>
  <c r="I78" i="13"/>
  <c r="G78" i="13"/>
  <c r="C78" i="13"/>
  <c r="E78" i="13"/>
  <c r="F78" i="13"/>
  <c r="K69" i="13"/>
  <c r="H79" i="13" l="1"/>
  <c r="E79" i="13"/>
  <c r="B79" i="13"/>
  <c r="A80" i="13"/>
  <c r="G79" i="13"/>
  <c r="D79" i="13"/>
  <c r="C79" i="13"/>
  <c r="J79" i="13"/>
  <c r="I79" i="13"/>
  <c r="F79" i="13"/>
  <c r="K70" i="13"/>
  <c r="A81" i="13" l="1"/>
  <c r="H80" i="13"/>
  <c r="F80" i="13"/>
  <c r="D80" i="13"/>
  <c r="J80" i="13"/>
  <c r="G80" i="13"/>
  <c r="E80" i="13"/>
  <c r="B80" i="13"/>
  <c r="I80" i="13"/>
  <c r="C80" i="13"/>
  <c r="K71" i="13"/>
  <c r="D81" i="13" l="1"/>
  <c r="G81" i="13"/>
  <c r="J81" i="13"/>
  <c r="I81" i="13"/>
  <c r="C81" i="13"/>
  <c r="A82" i="13"/>
  <c r="F81" i="13"/>
  <c r="H81" i="13"/>
  <c r="B81" i="13"/>
  <c r="E81" i="13"/>
  <c r="K72" i="13"/>
  <c r="J82" i="13" l="1"/>
  <c r="G82" i="13"/>
  <c r="F82" i="13"/>
  <c r="D82" i="13"/>
  <c r="B82" i="13"/>
  <c r="I82" i="13"/>
  <c r="E82" i="13"/>
  <c r="C82" i="13"/>
  <c r="H82" i="13"/>
  <c r="A83" i="13"/>
  <c r="K73" i="13"/>
  <c r="B83" i="13" l="1"/>
  <c r="I83" i="13"/>
  <c r="C83" i="13"/>
  <c r="F83" i="13"/>
  <c r="D83" i="13"/>
  <c r="A84" i="13"/>
  <c r="H83" i="13"/>
  <c r="G83" i="13"/>
  <c r="E83" i="13"/>
  <c r="J83" i="13"/>
  <c r="K74" i="13"/>
  <c r="F84" i="13" l="1"/>
  <c r="I84" i="13"/>
  <c r="B84" i="13"/>
  <c r="J84" i="13"/>
  <c r="E84" i="13"/>
  <c r="C84" i="13"/>
  <c r="H84" i="13"/>
  <c r="A85" i="13"/>
  <c r="D84" i="13"/>
  <c r="G84" i="13"/>
  <c r="K75" i="13"/>
  <c r="A86" i="13" l="1"/>
  <c r="H85" i="13"/>
  <c r="G85" i="13"/>
  <c r="E85" i="13"/>
  <c r="C85" i="13"/>
  <c r="J85" i="13"/>
  <c r="F85" i="13"/>
  <c r="D85" i="13"/>
  <c r="I85" i="13"/>
  <c r="B85" i="13"/>
  <c r="K76" i="13"/>
  <c r="B86" i="13" l="1"/>
  <c r="I86" i="13"/>
  <c r="E86" i="13"/>
  <c r="D86" i="13"/>
  <c r="C86" i="13"/>
  <c r="A87" i="13"/>
  <c r="H86" i="13"/>
  <c r="G86" i="13"/>
  <c r="F86" i="13"/>
  <c r="J86" i="13"/>
  <c r="K77" i="13"/>
  <c r="H87" i="13" l="1"/>
  <c r="E87" i="13"/>
  <c r="B87" i="13"/>
  <c r="I87" i="13"/>
  <c r="G87" i="13"/>
  <c r="D87" i="13"/>
  <c r="C87" i="13"/>
  <c r="J87" i="13"/>
  <c r="F87" i="13"/>
  <c r="A88" i="13"/>
  <c r="K78" i="13"/>
  <c r="A89" i="13" l="1"/>
  <c r="H88" i="13"/>
  <c r="E88" i="13"/>
  <c r="B88" i="13"/>
  <c r="J88" i="13"/>
  <c r="G88" i="13"/>
  <c r="F88" i="13"/>
  <c r="C88" i="13"/>
  <c r="I88" i="13"/>
  <c r="D88" i="13"/>
  <c r="K79" i="13"/>
  <c r="D89" i="13" l="1"/>
  <c r="F89" i="13"/>
  <c r="J89" i="13"/>
  <c r="E89" i="13"/>
  <c r="C89" i="13"/>
  <c r="G89" i="13"/>
  <c r="A90" i="13"/>
  <c r="H89" i="13"/>
  <c r="B89" i="13"/>
  <c r="I89" i="13"/>
  <c r="K80" i="13"/>
  <c r="J90" i="13" l="1"/>
  <c r="G90" i="13"/>
  <c r="E90" i="13"/>
  <c r="C90" i="13"/>
  <c r="A91" i="13"/>
  <c r="I90" i="13"/>
  <c r="F90" i="13"/>
  <c r="D90" i="13"/>
  <c r="H90" i="13"/>
  <c r="B90" i="13"/>
  <c r="K81" i="13"/>
  <c r="A92" i="13" l="1"/>
  <c r="J91" i="13"/>
  <c r="G91" i="13"/>
  <c r="F91" i="13"/>
  <c r="C91" i="13"/>
  <c r="I91" i="13"/>
  <c r="H91" i="13"/>
  <c r="E91" i="13"/>
  <c r="B91" i="13"/>
  <c r="D91" i="13"/>
  <c r="K82" i="13"/>
  <c r="F92" i="13" l="1"/>
  <c r="C92" i="13"/>
  <c r="G92" i="13"/>
  <c r="E92" i="13"/>
  <c r="B92" i="13"/>
  <c r="A93" i="13"/>
  <c r="H92" i="13"/>
  <c r="D92" i="13"/>
  <c r="I92" i="13"/>
  <c r="J92" i="13"/>
  <c r="K83" i="13"/>
  <c r="A94" i="13" l="1"/>
  <c r="H93" i="13"/>
  <c r="F93" i="13"/>
  <c r="D93" i="13"/>
  <c r="J93" i="13"/>
  <c r="G93" i="13"/>
  <c r="E93" i="13"/>
  <c r="B93" i="13"/>
  <c r="I93" i="13"/>
  <c r="C93" i="13"/>
  <c r="K84" i="13"/>
  <c r="B94" i="13" l="1"/>
  <c r="J94" i="13"/>
  <c r="G94" i="13"/>
  <c r="E94" i="13"/>
  <c r="D94" i="13"/>
  <c r="I94" i="13"/>
  <c r="H94" i="13"/>
  <c r="C94" i="13"/>
  <c r="A95" i="13"/>
  <c r="F94" i="13"/>
  <c r="K85" i="13"/>
  <c r="H95" i="13" l="1"/>
  <c r="D95" i="13"/>
  <c r="C95" i="13"/>
  <c r="I95" i="13"/>
  <c r="G95" i="13"/>
  <c r="E95" i="13"/>
  <c r="B95" i="13"/>
  <c r="F95" i="13"/>
  <c r="J95" i="13"/>
  <c r="A96" i="13"/>
  <c r="K86" i="13"/>
  <c r="A97" i="13" l="1"/>
  <c r="H96" i="13"/>
  <c r="E96" i="13"/>
  <c r="C96" i="13"/>
  <c r="J96" i="13"/>
  <c r="G96" i="13"/>
  <c r="F96" i="13"/>
  <c r="B96" i="13"/>
  <c r="I96" i="13"/>
  <c r="D96" i="13"/>
  <c r="K87" i="13"/>
  <c r="D97" i="13" l="1"/>
  <c r="A98" i="13"/>
  <c r="F97" i="13"/>
  <c r="C97" i="13"/>
  <c r="G97" i="13"/>
  <c r="I97" i="13"/>
  <c r="H97" i="13"/>
  <c r="B97" i="13"/>
  <c r="J97" i="13"/>
  <c r="E97" i="13"/>
  <c r="K88" i="13"/>
  <c r="J98" i="13" l="1"/>
  <c r="G98" i="13"/>
  <c r="E98" i="13"/>
  <c r="B98" i="13"/>
  <c r="I98" i="13"/>
  <c r="F98" i="13"/>
  <c r="D98" i="13"/>
  <c r="A99" i="13"/>
  <c r="H98" i="13"/>
  <c r="C98" i="13"/>
  <c r="K89" i="13"/>
  <c r="A100" i="13" l="1"/>
  <c r="H99" i="13"/>
  <c r="G99" i="13"/>
  <c r="F99" i="13"/>
  <c r="D99" i="13"/>
  <c r="J99" i="13"/>
  <c r="C99" i="13"/>
  <c r="E99" i="13"/>
  <c r="I99" i="13"/>
  <c r="B99" i="13"/>
  <c r="K90" i="13"/>
  <c r="F100" i="13" l="1"/>
  <c r="I100" i="13"/>
  <c r="H100" i="13"/>
  <c r="B100" i="13"/>
  <c r="J100" i="13"/>
  <c r="E100" i="13"/>
  <c r="C100" i="13"/>
  <c r="A101" i="13"/>
  <c r="D100" i="13"/>
  <c r="G100" i="13"/>
  <c r="K91" i="13"/>
  <c r="A102" i="13" l="1"/>
  <c r="G101" i="13"/>
  <c r="E101" i="13"/>
  <c r="C101" i="13"/>
  <c r="J101" i="13"/>
  <c r="H101" i="13"/>
  <c r="F101" i="13"/>
  <c r="B101" i="13"/>
  <c r="I101" i="13"/>
  <c r="D101" i="13"/>
  <c r="K92" i="13"/>
  <c r="B102" i="13" l="1"/>
  <c r="A103" i="13"/>
  <c r="G102" i="13"/>
  <c r="D102" i="13"/>
  <c r="J102" i="13"/>
  <c r="I102" i="13"/>
  <c r="F102" i="13"/>
  <c r="E102" i="13"/>
  <c r="H102" i="13"/>
  <c r="C102" i="13"/>
  <c r="K93" i="13"/>
  <c r="H103" i="13" l="1"/>
  <c r="E103" i="13"/>
  <c r="B103" i="13"/>
  <c r="A104" i="13"/>
  <c r="G103" i="13"/>
  <c r="D103" i="13"/>
  <c r="C103" i="13"/>
  <c r="J103" i="13"/>
  <c r="F103" i="13"/>
  <c r="I103" i="13"/>
  <c r="K94" i="13"/>
  <c r="A105" i="13" l="1"/>
  <c r="H104" i="13"/>
  <c r="F104" i="13"/>
  <c r="E104" i="13"/>
  <c r="B104" i="13"/>
  <c r="J104" i="13"/>
  <c r="G104" i="13"/>
  <c r="D104" i="13"/>
  <c r="I104" i="13"/>
  <c r="C104" i="13"/>
  <c r="K95" i="13"/>
  <c r="D105" i="13" l="1"/>
  <c r="A106" i="13"/>
  <c r="I105" i="13"/>
  <c r="H105" i="13"/>
  <c r="C105" i="13"/>
  <c r="F105" i="13"/>
  <c r="J105" i="13"/>
  <c r="G105" i="13"/>
  <c r="B105" i="13"/>
  <c r="E105" i="13"/>
  <c r="K96" i="13"/>
  <c r="J106" i="13" l="1"/>
  <c r="G106" i="13"/>
  <c r="E106" i="13"/>
  <c r="B106" i="13"/>
  <c r="I106" i="13"/>
  <c r="F106" i="13"/>
  <c r="D106" i="13"/>
  <c r="C106" i="13"/>
  <c r="H106" i="13"/>
  <c r="K97" i="13"/>
  <c r="K3" i="13" l="1"/>
  <c r="K98" i="13"/>
  <c r="K99" i="13" l="1"/>
  <c r="K100" i="13" l="1"/>
  <c r="K101" i="13" l="1"/>
  <c r="K102" i="13" l="1"/>
  <c r="K103" i="13" l="1"/>
  <c r="K104" i="13" l="1"/>
  <c r="K105" i="13" l="1"/>
  <c r="K106" i="13" l="1"/>
  <c r="K2" i="13"/>
  <c r="A2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tc={200707AB-6382-490B-95D8-FEDB6883DB2F}</author>
  </authors>
  <commentList>
    <comment ref="A43" authorId="0" shapeId="0" xr:uid="{200707AB-6382-490B-95D8-FEDB6883DB2F}">
      <text>
        <t>[Threaded comment]
Your version of Excel allows you to read this threaded comment; however, any edits to it will get removed if the file is opened in a newer version of Excel. Learn more: https://go.microsoft.com/fwlink/?linkid=870924
Comment:
    Same?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<sst xmlns="http://schemas.openxmlformats.org/spreadsheetml/2006/main" count="1288" uniqueCount="787">
  <si>
    <t>Case Definition</t>
  </si>
  <si>
    <t>Outbreak Management Team</t>
  </si>
  <si>
    <t>Outbreak Name:</t>
  </si>
  <si>
    <t>Date Reported:</t>
  </si>
  <si>
    <t>Date Declared:</t>
  </si>
  <si>
    <t>Date Declared Over:</t>
  </si>
  <si>
    <t>Last Updated Date:</t>
  </si>
  <si>
    <t>Institution Name:</t>
  </si>
  <si>
    <t>Outbreak Number:</t>
  </si>
  <si>
    <t>Contact Phone Extension:</t>
  </si>
  <si>
    <t>Entire Facility</t>
  </si>
  <si>
    <t>Line #</t>
  </si>
  <si>
    <t>Name</t>
  </si>
  <si>
    <t>Reason for Line Listing</t>
  </si>
  <si>
    <t>Role</t>
  </si>
  <si>
    <t>Area</t>
  </si>
  <si>
    <t>Isolation End Date</t>
  </si>
  <si>
    <t>Room</t>
  </si>
  <si>
    <t>Date of Birth</t>
  </si>
  <si>
    <t>Sex</t>
  </si>
  <si>
    <t>Field</t>
  </si>
  <si>
    <t>Validation Entry Message</t>
  </si>
  <si>
    <t>Validation Rules</t>
  </si>
  <si>
    <t>Date between 2021-01-01 and TODAY()</t>
  </si>
  <si>
    <t>yyyy/m/d</t>
  </si>
  <si>
    <t>Format</t>
  </si>
  <si>
    <t>dd-mmm-yyyy</t>
  </si>
  <si>
    <t>Display Format</t>
  </si>
  <si>
    <t>###</t>
  </si>
  <si>
    <t>None - LOCKED</t>
  </si>
  <si>
    <t>Tab</t>
  </si>
  <si>
    <t>Line List</t>
  </si>
  <si>
    <t>Range</t>
  </si>
  <si>
    <t>Date between 1920-01-01 and TODAY()</t>
  </si>
  <si>
    <t>Date between 2021-01-01 and TODAY()+21</t>
  </si>
  <si>
    <t>Lab-confirmed?</t>
  </si>
  <si>
    <t>Asymptomatic?</t>
  </si>
  <si>
    <t>Runny Nose / Sneezing</t>
  </si>
  <si>
    <t>Decrease / Loss of Smell or Taste</t>
  </si>
  <si>
    <t>Abnormal Temperature / Fever</t>
  </si>
  <si>
    <t>Headache</t>
  </si>
  <si>
    <t>Chills</t>
  </si>
  <si>
    <t>Malaise</t>
  </si>
  <si>
    <t>Myalgia (Sore Muscles)</t>
  </si>
  <si>
    <t>Nausea</t>
  </si>
  <si>
    <t>Decrease / Loss of Appetite</t>
  </si>
  <si>
    <r>
      <rPr>
        <b/>
        <sz val="11"/>
        <color theme="1"/>
        <rFont val="Calibri"/>
        <family val="2"/>
        <scheme val="minor"/>
      </rPr>
      <t>S</t>
    </r>
    <r>
      <rPr>
        <sz val="11"/>
        <color theme="1"/>
        <rFont val="Calibri"/>
        <family val="2"/>
        <scheme val="minor"/>
      </rPr>
      <t xml:space="preserve">ore Throat / </t>
    </r>
    <r>
      <rPr>
        <b/>
        <sz val="11"/>
        <color theme="1"/>
        <rFont val="Calibri"/>
        <family val="2"/>
        <scheme val="minor"/>
      </rPr>
      <t>H</t>
    </r>
    <r>
      <rPr>
        <sz val="11"/>
        <color theme="1"/>
        <rFont val="Calibri"/>
        <family val="2"/>
        <scheme val="minor"/>
      </rPr>
      <t>oarseness (Specify)</t>
    </r>
  </si>
  <si>
    <t>Nasal Congestion (Stuffy Nose)</t>
  </si>
  <si>
    <t>Vomiting</t>
  </si>
  <si>
    <t>Abdominal Pain / Tenderness</t>
  </si>
  <si>
    <t>Dehydration</t>
  </si>
  <si>
    <t>Other Symptoms (List)</t>
  </si>
  <si>
    <t>Complications (List)</t>
  </si>
  <si>
    <t>Hospital Admission Date</t>
  </si>
  <si>
    <t>ICU Admission Date</t>
  </si>
  <si>
    <t>Hospital Discharge Date</t>
  </si>
  <si>
    <t>Death Date</t>
  </si>
  <si>
    <t>Notes</t>
  </si>
  <si>
    <t>Linked to Cases (LL #s)</t>
  </si>
  <si>
    <t>Y</t>
  </si>
  <si>
    <t>Y;blank</t>
  </si>
  <si>
    <t>W;B;G;blank</t>
  </si>
  <si>
    <t>N/A</t>
  </si>
  <si>
    <t>Case</t>
  </si>
  <si>
    <t>Y (Yes) or blank
(Press delete to remove value)</t>
  </si>
  <si>
    <t>S;H;SH;blank</t>
  </si>
  <si>
    <t>S (Sore Throat)
H (Hoarseness)
SH (both)
blank
(Press delete to remove value)</t>
  </si>
  <si>
    <t>W (Watery)
B (Bloody)
G (Greasy)
WB (Watery and Bloody)
WG (Watery and Greasy)
BG (Bloody and Greasy)
WBG (all three)
blank
(Press delete to remove value)</t>
  </si>
  <si>
    <t>Rule</t>
  </si>
  <si>
    <t>Stop if True?</t>
  </si>
  <si>
    <t>Order</t>
  </si>
  <si>
    <t>Description</t>
  </si>
  <si>
    <t>If is a case, must have a Day 0.</t>
  </si>
  <si>
    <t>If tested positive, must be a Case.</t>
  </si>
  <si>
    <t>Male</t>
  </si>
  <si>
    <t>Female</t>
  </si>
  <si>
    <t>Other</t>
  </si>
  <si>
    <t>INDIRECT("Sex[Sex]")</t>
  </si>
  <si>
    <t>Reason for LL</t>
  </si>
  <si>
    <t>HRCC</t>
  </si>
  <si>
    <t>Does not meet</t>
  </si>
  <si>
    <t>INDIRECT("ReasonforLL[Reason for LL]")</t>
  </si>
  <si>
    <t>Staff</t>
  </si>
  <si>
    <t>Attendee</t>
  </si>
  <si>
    <t>Patient</t>
  </si>
  <si>
    <t>Patron/Customer</t>
  </si>
  <si>
    <t>Resident</t>
  </si>
  <si>
    <t>Student</t>
  </si>
  <si>
    <t>Visitor</t>
  </si>
  <si>
    <t>Volunteer</t>
  </si>
  <si>
    <t>INDIRECT("Role[Role]")</t>
  </si>
  <si>
    <t>D;P;W;DW;PW;blank</t>
  </si>
  <si>
    <t>D (Dry)
P (Productive)
W (Worsening)
DW (Dry and Worsening)
PW (Productive and Worsening)
blank
(Press delete to remove value)</t>
  </si>
  <si>
    <t>Highlight LDW field if not LRCC or DNM, and if Role wasn't Resident/Patient</t>
  </si>
  <si>
    <t>If vaccinated = Y, set cell to black.</t>
  </si>
  <si>
    <t>If test result 1 exists, test date should not be missing.</t>
  </si>
  <si>
    <t>If test result 2 exists, test date should not be missing.</t>
  </si>
  <si>
    <t>If test result 3 exists, test date should not be missing.</t>
  </si>
  <si>
    <t>If asymptomatic, grey out Onset through Complications</t>
  </si>
  <si>
    <t>If ICU admission date is not blank and hospital admission date is blank, highlight hospital admission date</t>
  </si>
  <si>
    <t>If sx completed, format.</t>
  </si>
  <si>
    <t>Result</t>
  </si>
  <si>
    <t>Positive</t>
  </si>
  <si>
    <t>Negative</t>
  </si>
  <si>
    <t>Inconclusive</t>
  </si>
  <si>
    <t>Pending</t>
  </si>
  <si>
    <t>Respiratory / COVID</t>
  </si>
  <si>
    <t>Shared</t>
  </si>
  <si>
    <t>Gastro</t>
  </si>
  <si>
    <t>Symptoms</t>
  </si>
  <si>
    <t>A5:A404</t>
  </si>
  <si>
    <t>B5:B404</t>
  </si>
  <si>
    <t>C5:C404</t>
  </si>
  <si>
    <t>D5:D404</t>
  </si>
  <si>
    <t>E5:E404</t>
  </si>
  <si>
    <t>F5:F404</t>
  </si>
  <si>
    <t>G5:G404</t>
  </si>
  <si>
    <t>H5:H404</t>
  </si>
  <si>
    <t>I5:I404</t>
  </si>
  <si>
    <t>J5:J404</t>
  </si>
  <si>
    <t>K5:K404</t>
  </si>
  <si>
    <t>L5:L404</t>
  </si>
  <si>
    <t>M5:M404</t>
  </si>
  <si>
    <t>N5:N404</t>
  </si>
  <si>
    <t>O5:O404</t>
  </si>
  <si>
    <t>P5:P404</t>
  </si>
  <si>
    <t>Q5:Q404</t>
  </si>
  <si>
    <t>R5:R404</t>
  </si>
  <si>
    <t>S5:S404</t>
  </si>
  <si>
    <t>T5:T404</t>
  </si>
  <si>
    <t>U5:U404</t>
  </si>
  <si>
    <t>V5:V404</t>
  </si>
  <si>
    <t>X5:X404</t>
  </si>
  <si>
    <t>Y5:Y404</t>
  </si>
  <si>
    <t>Z5:Z404</t>
  </si>
  <si>
    <t>AA5:AA404</t>
  </si>
  <si>
    <t>AB5:AB404</t>
  </si>
  <si>
    <t>AC5:AC404</t>
  </si>
  <si>
    <t>AD5:AD404</t>
  </si>
  <si>
    <t>AE5:AE404</t>
  </si>
  <si>
    <t>AF5:AF404</t>
  </si>
  <si>
    <t>AG5:AG404</t>
  </si>
  <si>
    <t>AH5:AH404</t>
  </si>
  <si>
    <t>AI5:AI404</t>
  </si>
  <si>
    <t>AJ5:AJ404</t>
  </si>
  <si>
    <t>AK5:AK404</t>
  </si>
  <si>
    <t>AL5:AL404</t>
  </si>
  <si>
    <t>AM5:AM404</t>
  </si>
  <si>
    <t>AN5:AN404</t>
  </si>
  <si>
    <t>AO5:AO404</t>
  </si>
  <si>
    <t>AP5:AP404</t>
  </si>
  <si>
    <t>AQ5:AQ404</t>
  </si>
  <si>
    <t>AR5:AR404</t>
  </si>
  <si>
    <t>AS5:AS404</t>
  </si>
  <si>
    <t>AT5:AT404</t>
  </si>
  <si>
    <t>AU5:AU404</t>
  </si>
  <si>
    <t>AV5:AV404</t>
  </si>
  <si>
    <t>AW5:AW404</t>
  </si>
  <si>
    <t>AX5:AX404</t>
  </si>
  <si>
    <t>AY5:AY404</t>
  </si>
  <si>
    <t>AZ5:AZ404</t>
  </si>
  <si>
    <t>BA5:BA404</t>
  </si>
  <si>
    <t>BB5:BB404</t>
  </si>
  <si>
    <t>BC5:BC404</t>
  </si>
  <si>
    <t>BD5:BD404</t>
  </si>
  <si>
    <t>BE5:BE404</t>
  </si>
  <si>
    <t>BF5:BF404</t>
  </si>
  <si>
    <t>Testing Information</t>
  </si>
  <si>
    <t>Symptom Status</t>
  </si>
  <si>
    <t>Hospitalization, Mortality &amp; Other Information</t>
  </si>
  <si>
    <t>Basic Information</t>
  </si>
  <si>
    <t>Affected</t>
  </si>
  <si>
    <t>B20</t>
  </si>
  <si>
    <t>Entire Facility, Specific Areas Only</t>
  </si>
  <si>
    <t>Definition</t>
  </si>
  <si>
    <t>Team</t>
  </si>
  <si>
    <t>B3</t>
  </si>
  <si>
    <t>A3</t>
  </si>
  <si>
    <t>Reported</t>
  </si>
  <si>
    <t>Updated</t>
  </si>
  <si>
    <t>Declared</t>
  </si>
  <si>
    <t>Over</t>
  </si>
  <si>
    <t>Lead</t>
  </si>
  <si>
    <t>Organism</t>
  </si>
  <si>
    <t>Institution</t>
  </si>
  <si>
    <t>Contact</t>
  </si>
  <si>
    <t>Phone</t>
  </si>
  <si>
    <t>Extension</t>
  </si>
  <si>
    <t>B5</t>
  </si>
  <si>
    <t>B7</t>
  </si>
  <si>
    <t>B8</t>
  </si>
  <si>
    <t>B9</t>
  </si>
  <si>
    <t>B10</t>
  </si>
  <si>
    <t>B11</t>
  </si>
  <si>
    <t>B13</t>
  </si>
  <si>
    <t>B16</t>
  </si>
  <si>
    <t>B17</t>
  </si>
  <si>
    <t>Number</t>
  </si>
  <si>
    <t>B18</t>
  </si>
  <si>
    <t>Choose One</t>
  </si>
  <si>
    <t>Residents (Vaccinated)</t>
  </si>
  <si>
    <t>Staff (Vaccinated)</t>
  </si>
  <si>
    <t>If specific areas only, for areas affected:</t>
  </si>
  <si>
    <r>
      <t>Potential</t>
    </r>
    <r>
      <rPr>
        <sz val="11"/>
        <color theme="1"/>
        <rFont val="Calibri"/>
        <family val="2"/>
        <scheme val="minor"/>
      </rPr>
      <t xml:space="preserve"> Date Declared Over:</t>
    </r>
  </si>
  <si>
    <t>Error Message</t>
  </si>
  <si>
    <t>INDIRECT("Result[Result]")</t>
  </si>
  <si>
    <t>No values besides input list are accepted.</t>
  </si>
  <si>
    <t>In-cell dropdown?</t>
  </si>
  <si>
    <t>Checked</t>
  </si>
  <si>
    <t>Not checked</t>
  </si>
  <si>
    <t>Y (Yes)
N (No)
U (Unknown)
(Press delete to remove value)</t>
  </si>
  <si>
    <t>Must be a date between 1920/01/01 and today.</t>
  </si>
  <si>
    <t>Enter list line list numbers of potential transmitters to this case, or briefly describe if transmitter is not line listed.</t>
  </si>
  <si>
    <t>Must be a date between 2021/01/01 and today.</t>
  </si>
  <si>
    <t>Upper case Y or blank only.</t>
  </si>
  <si>
    <t>Specify Other Role (skip if role is already specified)</t>
  </si>
  <si>
    <t>Specific Area</t>
  </si>
  <si>
    <t>Facility</t>
  </si>
  <si>
    <t>Formula: =Area</t>
  </si>
  <si>
    <t>Enter staff phone #, extension</t>
  </si>
  <si>
    <t>Enter room #, if applicable</t>
  </si>
  <si>
    <t>Must be a date between 2021/01/01 and 21 days from today.</t>
  </si>
  <si>
    <t>Y,N,U</t>
  </si>
  <si>
    <t>Upper case S, H, SH or blank only.</t>
  </si>
  <si>
    <t>Upper case D, P, W, DW, PW or blank only.</t>
  </si>
  <si>
    <t>Upper case W, B, G, WB, WG, BG, WBG or blank only.</t>
  </si>
  <si>
    <t>List any other symptoms that the person experienced.</t>
  </si>
  <si>
    <t>List any complications that the person developed.</t>
  </si>
  <si>
    <t>Enter any other pertinent information in this field.</t>
  </si>
  <si>
    <t>Enter the criteria defining a case.</t>
  </si>
  <si>
    <t>Enter the names of the OB management team. To add a name on a new line in this field, hold down Alt and press Enter.</t>
  </si>
  <si>
    <t>Enter name of PHSD lead.</t>
  </si>
  <si>
    <t>Enter the causative organism, if identified.</t>
  </si>
  <si>
    <t>Enter the institution information preceded by its provincial facility number, if applicable.
[Facility number - Name]</t>
  </si>
  <si>
    <t>Enter the outbreak number.
[2261-YYYY-#####]</t>
  </si>
  <si>
    <t>Enter the facility contact's name.</t>
  </si>
  <si>
    <t>Enter the facility contact's phone number.</t>
  </si>
  <si>
    <t>Enter the facility contact's extension information.</t>
  </si>
  <si>
    <t>Facility[Residents (Vaccinated)]</t>
  </si>
  <si>
    <t>LL[Line #]</t>
  </si>
  <si>
    <t>LL[Name]</t>
  </si>
  <si>
    <t>LL[Date of Birth]</t>
  </si>
  <si>
    <t>LL[Sex]</t>
  </si>
  <si>
    <t>LL[Vaccinated?]</t>
  </si>
  <si>
    <t>LL[Reason for Line Listing]</t>
  </si>
  <si>
    <t>LL[Linked to cases (LL #s)]</t>
  </si>
  <si>
    <t>LL[Last Exposure Date]</t>
  </si>
  <si>
    <t>LL[Previously a HRCC?]</t>
  </si>
  <si>
    <t>LL[Role]</t>
  </si>
  <si>
    <t>LL[Role (Other)]</t>
  </si>
  <si>
    <t>LL[Area]</t>
  </si>
  <si>
    <t>LL[Staff Phone #]</t>
  </si>
  <si>
    <t>LL[Room]</t>
  </si>
  <si>
    <t>LL[Date Reported to PHSD]</t>
  </si>
  <si>
    <t>LL[Day 0 as per PHSD Consultation]</t>
  </si>
  <si>
    <t>LL[Last Day Worked / ECG Last Day in Home]</t>
  </si>
  <si>
    <t>LL[Isolation Start Date]</t>
  </si>
  <si>
    <t>LL[Isolation End Date]</t>
  </si>
  <si>
    <t>LL[Lab-confirmed?]</t>
  </si>
  <si>
    <t>LL[HRCC First Test Date]</t>
  </si>
  <si>
    <t>LL[HRCC First Test Result Date]</t>
  </si>
  <si>
    <t>LL[HRCC First Test Result]</t>
  </si>
  <si>
    <t>LL[HRCC Second Test Date]</t>
  </si>
  <si>
    <t>LL[HRCC Second Test Result Date]</t>
  </si>
  <si>
    <t>LL[HRCC Second Test Result]</t>
  </si>
  <si>
    <t>LL[HRCC Third Test Date]</t>
  </si>
  <si>
    <t>LL[HRCC Third Test Result Date]</t>
  </si>
  <si>
    <t>LL[HRCC Third Test Result]</t>
  </si>
  <si>
    <t>LL[Asymptomatic?]</t>
  </si>
  <si>
    <t>LL[Onset Date]</t>
  </si>
  <si>
    <r>
      <t xml:space="preserve">LL[Cough (Specify </t>
    </r>
    <r>
      <rPr>
        <b/>
        <sz val="11"/>
        <color theme="1"/>
        <rFont val="Calibri"/>
        <family val="2"/>
        <scheme val="minor"/>
      </rPr>
      <t>D</t>
    </r>
    <r>
      <rPr>
        <sz val="11"/>
        <color theme="1"/>
        <rFont val="Calibri"/>
        <family val="2"/>
        <scheme val="minor"/>
      </rPr>
      <t xml:space="preserve">ry, </t>
    </r>
    <r>
      <rPr>
        <b/>
        <sz val="11"/>
        <color theme="1"/>
        <rFont val="Calibri"/>
        <family val="2"/>
        <scheme val="minor"/>
      </rPr>
      <t>P</t>
    </r>
    <r>
      <rPr>
        <sz val="11"/>
        <color theme="1"/>
        <rFont val="Calibri"/>
        <family val="2"/>
        <scheme val="minor"/>
      </rPr>
      <t xml:space="preserve">roductive, </t>
    </r>
    <r>
      <rPr>
        <b/>
        <sz val="11"/>
        <color theme="1"/>
        <rFont val="Calibri"/>
        <family val="2"/>
        <scheme val="minor"/>
      </rPr>
      <t>W</t>
    </r>
    <r>
      <rPr>
        <sz val="11"/>
        <color theme="1"/>
        <rFont val="Calibri"/>
        <family val="2"/>
        <scheme val="minor"/>
      </rPr>
      <t>orsening)]</t>
    </r>
  </si>
  <si>
    <r>
      <t>LL[</t>
    </r>
    <r>
      <rPr>
        <b/>
        <sz val="11"/>
        <color theme="1"/>
        <rFont val="Calibri"/>
        <family val="2"/>
        <scheme val="minor"/>
      </rPr>
      <t>S</t>
    </r>
    <r>
      <rPr>
        <sz val="11"/>
        <color theme="1"/>
        <rFont val="Calibri"/>
        <family val="2"/>
        <scheme val="minor"/>
      </rPr>
      <t xml:space="preserve">ore Throat / </t>
    </r>
    <r>
      <rPr>
        <b/>
        <sz val="11"/>
        <color theme="1"/>
        <rFont val="Calibri"/>
        <family val="2"/>
        <scheme val="minor"/>
      </rPr>
      <t>H</t>
    </r>
    <r>
      <rPr>
        <sz val="11"/>
        <color theme="1"/>
        <rFont val="Calibri"/>
        <family val="2"/>
        <scheme val="minor"/>
      </rPr>
      <t>oarseness (Specify)]</t>
    </r>
  </si>
  <si>
    <t>LL[Nasal Congestion (Stuffy Nose)]</t>
  </si>
  <si>
    <t>LL[Runny Nose / Sneezing]</t>
  </si>
  <si>
    <t>LL[Decrease / Loss of Smell or Taste]</t>
  </si>
  <si>
    <t>LL[Abnormal Temperature / Fever]</t>
  </si>
  <si>
    <t>LL[Headache]</t>
  </si>
  <si>
    <t>LL[Chills]</t>
  </si>
  <si>
    <t>LL[Malaise]</t>
  </si>
  <si>
    <t>LL[Myalgia (Sore Muscles)]</t>
  </si>
  <si>
    <t>LL[Nausea]</t>
  </si>
  <si>
    <t>LL[Decrease / Loss of Appetite]</t>
  </si>
  <si>
    <r>
      <t xml:space="preserve">LL[Diarrhea (Specify </t>
    </r>
    <r>
      <rPr>
        <b/>
        <sz val="11"/>
        <color theme="1"/>
        <rFont val="Calibri"/>
        <family val="2"/>
        <scheme val="minor"/>
      </rPr>
      <t>W</t>
    </r>
    <r>
      <rPr>
        <sz val="11"/>
        <color theme="1"/>
        <rFont val="Calibri"/>
        <family val="2"/>
        <scheme val="minor"/>
      </rPr>
      <t xml:space="preserve">atery, </t>
    </r>
    <r>
      <rPr>
        <b/>
        <sz val="11"/>
        <color theme="1"/>
        <rFont val="Calibri"/>
        <family val="2"/>
        <scheme val="minor"/>
      </rPr>
      <t>B</t>
    </r>
    <r>
      <rPr>
        <sz val="11"/>
        <color theme="1"/>
        <rFont val="Calibri"/>
        <family val="2"/>
        <scheme val="minor"/>
      </rPr>
      <t xml:space="preserve">loody, </t>
    </r>
    <r>
      <rPr>
        <b/>
        <sz val="11"/>
        <color theme="1"/>
        <rFont val="Calibri"/>
        <family val="2"/>
        <scheme val="minor"/>
      </rPr>
      <t>G</t>
    </r>
    <r>
      <rPr>
        <sz val="11"/>
        <color theme="1"/>
        <rFont val="Calibri"/>
        <family val="2"/>
        <scheme val="minor"/>
      </rPr>
      <t>reasy)]</t>
    </r>
  </si>
  <si>
    <t>LL[Vomiting]</t>
  </si>
  <si>
    <t>LL[Abdominal Pain / Tenderness]</t>
  </si>
  <si>
    <t>LL[Dehydration]</t>
  </si>
  <si>
    <t>LL[Other Symptoms (List)]</t>
  </si>
  <si>
    <t>LL[Symptoms Resolved Date]</t>
  </si>
  <si>
    <t>LL[Evidence of Clinical Severity?]</t>
  </si>
  <si>
    <t>LL[Pneumonia?]</t>
  </si>
  <si>
    <t>LL[Complications (List)]</t>
  </si>
  <si>
    <t>LL[Hospital Admission Date]</t>
  </si>
  <si>
    <t>LL[ICU Admission Date]</t>
  </si>
  <si>
    <t>LL[Hospital Discharge Date]</t>
  </si>
  <si>
    <t>LL[Death Date]</t>
  </si>
  <si>
    <t>LL[Case Resolved Date]</t>
  </si>
  <si>
    <t>LL[Notes]</t>
  </si>
  <si>
    <t>B24</t>
  </si>
  <si>
    <t>Enter total # of vaccinated residents in facility. If vaccination status does not apply to the disease agent, enter the total number of facility residents in this field.</t>
  </si>
  <si>
    <t>Facility[Residents (Not Vaccinated / Unknown)]</t>
  </si>
  <si>
    <t>C24</t>
  </si>
  <si>
    <t>Enter total # of unvaccinated or unknown vaccination status residents in facility. If vaccination status does not apply to the disease agent, enter nothing in this field.</t>
  </si>
  <si>
    <t>Facility[Staff (Vaccinated)]</t>
  </si>
  <si>
    <t>Facility[Staff (Not Vaccinated / Unknown)]</t>
  </si>
  <si>
    <t>D24</t>
  </si>
  <si>
    <t>E24</t>
  </si>
  <si>
    <t>Enter total # of vaccinated staff in facility. If vaccination status does not apply to the disease agent, enter the total number of facility staff in this field.</t>
  </si>
  <si>
    <t>Enter total # of unvaccinated or unknown vaccination status staff in facility. If vaccination status does not apply to the disease agent, enter nothing in this field.</t>
  </si>
  <si>
    <t>SpecificArea[Residents (Vaccinated)]</t>
  </si>
  <si>
    <t>B28:B50</t>
  </si>
  <si>
    <t>Enter total # of vaccinated residents in this area. If vaccination status does not apply to the disease agent, enter the total number of area residents in this field.</t>
  </si>
  <si>
    <t>SpecificArea[Residents (Not Vaccinated / Unknown)]</t>
  </si>
  <si>
    <t>SpecificArea[Specific Area]</t>
  </si>
  <si>
    <t>A28:A50</t>
  </si>
  <si>
    <t>Enter the name of the specific area(s) in which cases/contacts are primarily located.</t>
  </si>
  <si>
    <t>Enter total # of unvaccinated or unknown vaccination status residents in this area. If vaccination status does not apply to the disease agent, enter nothing in this field.</t>
  </si>
  <si>
    <t>Enter total # of vaccinated staff in this area. If vaccination status does not apply to the disease agent, enter the total number of area staff in this field.</t>
  </si>
  <si>
    <t>Enter total # of unvaccinated or unknown vaccination status staff in this area. If vaccination status does not apply to the disease agent, enter nothing in this field.</t>
  </si>
  <si>
    <t>If hospital admission date is not blank,  highlight hospital discharge date</t>
  </si>
  <si>
    <t>Fill</t>
  </si>
  <si>
    <t>#FF84C1</t>
  </si>
  <si>
    <t>Font</t>
  </si>
  <si>
    <t>Bold; #7D0000</t>
  </si>
  <si>
    <t>#000000</t>
  </si>
  <si>
    <t>#FFFFFF</t>
  </si>
  <si>
    <t>#808080</t>
  </si>
  <si>
    <t>SpecificArea[Staff (Vaccinated)]</t>
  </si>
  <si>
    <t>C28:C50</t>
  </si>
  <si>
    <t>D28:D50</t>
  </si>
  <si>
    <t>E28:E50</t>
  </si>
  <si>
    <t>SpecificArea[Staff (Not Vaccinated / Unknown)]</t>
  </si>
  <si>
    <t>W5:W404</t>
  </si>
  <si>
    <t>FORMULA: =AND(ISBLANK($Q5),$F5&lt;&gt;"LRCC",$F5&lt;&gt;"Does not meet",$J5&lt;&gt;"Resident",$J5&lt;&gt;"Patient",OR(ISBLANK($F5)=FALSE,ISBLANK($J5)=FALSE))</t>
  </si>
  <si>
    <t>FORMULA: =AND($F5="Case",ISBLANK($P5))</t>
  </si>
  <si>
    <t>FORMULA: =AND($F5&lt;&gt;"Case",OR($W5="Positive",$Z5="Positive",$AC5="Positive))</t>
  </si>
  <si>
    <t>$F$5:$F$404</t>
  </si>
  <si>
    <t>$Q$5:$Q$404</t>
  </si>
  <si>
    <t>$P$5:$P$404</t>
  </si>
  <si>
    <t>FORMULA: =$E5="Y"</t>
  </si>
  <si>
    <t>FORMULA: =and(ISBLANK($W5)=FALSE,ISBLANK($U5))</t>
  </si>
  <si>
    <t>$U$5:$U$404</t>
  </si>
  <si>
    <t>$E$5:$E$404</t>
  </si>
  <si>
    <t>FORMULA: =and(ISBLANK($Z5)=FALSE,ISBLANK($X5))</t>
  </si>
  <si>
    <t>FORMULA: =and(ISBLANK($AC5)=FALSE,ISBLANK($AA5))</t>
  </si>
  <si>
    <t>$X$5:$X$404</t>
  </si>
  <si>
    <t>$AA$5:$AA$404</t>
  </si>
  <si>
    <t>FORMULA: =$AD5="Y"</t>
  </si>
  <si>
    <t>If asymptomatic, set cell to black</t>
  </si>
  <si>
    <t>$AD$5:$AD:404</t>
  </si>
  <si>
    <t>$AD$5:$AD$404</t>
  </si>
  <si>
    <t>#FF0000</t>
  </si>
  <si>
    <t>FORMULA: =and($AD5="Y",or(isblank($AF5)=FALSE,isblank($AG5)=FALSE,isblank($AH5)=FALSE,isblank($AI5)=FALSE,isblank($AJ5)=FALSE,isblank($AK5)=FALSE,isblank($AL5)=FALSE,isblank($AM5)=FALSE,isblank($AN5)=FALSE,isblank($AO5)=FALSE,isblank($AP5)=FALSE,isblank($AQ5)=FALSE,isblank($AR5)=FALSE,isblank($AS5)=FALSE,isblank($AT5)=FALSE,isblank($AU5)=FALSE,isblank($AV5)=FALSE,isblank($AW5)=FALSE,isblank($AX5)=FALSE,isblank($AY5)=FALSE,isblank($AZ5)=FALSE,isblank($BA5)=FALSE,isblank($BB5)=FALSE,isblank($BC5)=FALSE,isblank($BD5)=FALSE))</t>
  </si>
  <si>
    <t>Bold; #000000</t>
  </si>
  <si>
    <t>If asymptomatic and any symptom through hospitalization and death field is populated, highlight that asymptomatic is an error.</t>
  </si>
  <si>
    <t>$AE$5:$BD$404</t>
  </si>
  <si>
    <t>$AF$5:$AU$404</t>
  </si>
  <si>
    <t>FORMULA: =ISBLANK(AF5)=FALSE</t>
  </si>
  <si>
    <t>If isolation date is not blank, highlight isolation end date if it's blank</t>
  </si>
  <si>
    <t>FORMULA: =and(ISBLANK($R5)=FALSE,ISBLANK($S5))</t>
  </si>
  <si>
    <t>$S$5:$S$404</t>
  </si>
  <si>
    <t>If isolation date is less than or equal to isolation start date, highlight as error.</t>
  </si>
  <si>
    <t>FORMULA: =AND($S5&lt;=$R5,ISBLANK($S5)=FALSE)</t>
  </si>
  <si>
    <t>FORMULA: =ISBLANK($BA5)=FALSE</t>
  </si>
  <si>
    <t>$BC$5:$BC$404</t>
  </si>
  <si>
    <t>FORMULA: =ISBLANK($BB5)=FALSE</t>
  </si>
  <si>
    <t>$BA$5:$BA$404</t>
  </si>
  <si>
    <t>If any data are entered on a row, highlight basic required fields if they are blank.</t>
  </si>
  <si>
    <t>FORMULA: =and(counta($b5:$bf5)&gt;0,Isblank(b5))</t>
  </si>
  <si>
    <t>$B$5:$B$404,$C$5:$C$404,$D$5:$D$404,$F$5:$F$404,$H$5:$H$404,$J$5:$J$404,$O$5:$O$404,$P$5:$P$404,$BE$5:$BE$404</t>
  </si>
  <si>
    <t>If all symptom information is missing, highlight all symptom-related fields</t>
  </si>
  <si>
    <t>$ad$5:$av$5</t>
  </si>
  <si>
    <t>FORMULA: =and(counta($b5:$bf5)&gt;0,counta($ad$5:$av$5)=0)</t>
  </si>
  <si>
    <t>$AE$5:$AE$404</t>
  </si>
  <si>
    <t>Format the summary sheet to resemble the data entry for CCM where possible.</t>
  </si>
  <si>
    <t>Sheet Name</t>
  </si>
  <si>
    <t>FORMULA: =isblank(A3)</t>
  </si>
  <si>
    <t>If required fields are blank, highlight them for entry.</t>
  </si>
  <si>
    <t>A3:B3,b5,b7:b9,b11,b12,b14:b19,b21,b24:e24</t>
  </si>
  <si>
    <t>Agent</t>
  </si>
  <si>
    <t>Type</t>
  </si>
  <si>
    <t>LDW</t>
  </si>
  <si>
    <t>Day 0</t>
  </si>
  <si>
    <t>Isolation Start</t>
  </si>
  <si>
    <t>Respiratory UNSPECIFIED</t>
  </si>
  <si>
    <t xml:space="preserve">   Influenza</t>
  </si>
  <si>
    <t xml:space="preserve">   Respiratory Syncitial Virus</t>
  </si>
  <si>
    <t xml:space="preserve">   Human Metapneumovirus</t>
  </si>
  <si>
    <t xml:space="preserve">   Rhinovirus</t>
  </si>
  <si>
    <t xml:space="preserve">   Adenovirus</t>
  </si>
  <si>
    <t xml:space="preserve">   Parainfluenza Virus</t>
  </si>
  <si>
    <t xml:space="preserve">   Bocavirus</t>
  </si>
  <si>
    <t xml:space="preserve">   Human coronaviruses</t>
  </si>
  <si>
    <t xml:space="preserve">   SARS-COV-2</t>
  </si>
  <si>
    <t>Enteric UNSPECIFIED</t>
  </si>
  <si>
    <t xml:space="preserve">   C. difficile</t>
  </si>
  <si>
    <t xml:space="preserve">   Norovirus</t>
  </si>
  <si>
    <t>Respiratory</t>
  </si>
  <si>
    <t>Enteric</t>
  </si>
  <si>
    <t>COVID-19</t>
  </si>
  <si>
    <t>#FFC1E0</t>
  </si>
  <si>
    <t>FORMULA: =$B$21="Specific Areas Only"</t>
  </si>
  <si>
    <t>$A$28:$E$28</t>
  </si>
  <si>
    <t>$A$29:$E$50</t>
  </si>
  <si>
    <t xml:space="preserve">If Affected = "Specific Areas Only" then highlight SpecificArea[Specific Area] top row. </t>
  </si>
  <si>
    <t>If Affected = "Specific Areas Only" then highlight SpecificArea[Specific Area] remainder rows.</t>
  </si>
  <si>
    <t>If SpecificArea[Specific Area] remainder rows aren't blank, highlight rest of row.</t>
  </si>
  <si>
    <t>FORMULA: =isblank($A29)=FALSE</t>
  </si>
  <si>
    <t>B29:E500</t>
  </si>
  <si>
    <t>Date</t>
  </si>
  <si>
    <t>Symptom</t>
  </si>
  <si>
    <t>Total</t>
  </si>
  <si>
    <t>Other/Unspecified</t>
  </si>
  <si>
    <t>% Total</t>
  </si>
  <si>
    <t>% Male</t>
  </si>
  <si>
    <t>% Female</t>
  </si>
  <si>
    <t>Label Total</t>
  </si>
  <si>
    <t>Label Male</t>
  </si>
  <si>
    <t>Label Female</t>
  </si>
  <si>
    <t>List Order</t>
  </si>
  <si>
    <t>Rank Order</t>
  </si>
  <si>
    <t>Practical Rank</t>
  </si>
  <si>
    <t>Sore Throat / Hoarseness (Specify)</t>
  </si>
  <si>
    <t>S</t>
  </si>
  <si>
    <t>R</t>
  </si>
  <si>
    <t>G</t>
  </si>
  <si>
    <t>Max:</t>
  </si>
  <si>
    <t>Percentage of Asymptomatic, Symptomatic, and Percentage of Symptomatic Cases by Symptom</t>
  </si>
  <si>
    <t>Total Cases:</t>
  </si>
  <si>
    <t>Asymptomatic:</t>
  </si>
  <si>
    <t xml:space="preserve">Symptomatic: </t>
  </si>
  <si>
    <t>R = respiratory, G = gastrointestinal, S = shared</t>
  </si>
  <si>
    <t>Counts, Rates, etc.</t>
  </si>
  <si>
    <t>Susceptible</t>
  </si>
  <si>
    <t>Attack Rates</t>
  </si>
  <si>
    <t>Case Counts</t>
  </si>
  <si>
    <t>(Staff/Residents Only)</t>
  </si>
  <si>
    <t>Staff/Residents Only)</t>
  </si>
  <si>
    <t>Cases by Age Group</t>
  </si>
  <si>
    <t>Age Group</t>
  </si>
  <si>
    <t>&lt; 20</t>
  </si>
  <si>
    <t>20s</t>
  </si>
  <si>
    <t>30s</t>
  </si>
  <si>
    <t>40s</t>
  </si>
  <si>
    <t>50s</t>
  </si>
  <si>
    <t>60s</t>
  </si>
  <si>
    <t>70s</t>
  </si>
  <si>
    <t>80s</t>
  </si>
  <si>
    <t>90s+</t>
  </si>
  <si>
    <t>Age</t>
  </si>
  <si>
    <t>Case Count</t>
  </si>
  <si>
    <t>Considerations for Declaring Over:</t>
  </si>
  <si>
    <t>Latest Dates</t>
  </si>
  <si>
    <t>Outbreak Response Procedures:</t>
  </si>
  <si>
    <t>Surveillance and reporting</t>
  </si>
  <si>
    <t>Facility Observation</t>
  </si>
  <si>
    <t>Comments</t>
  </si>
  <si>
    <t>Outbreak Specimen Collection</t>
  </si>
  <si>
    <t>Notification</t>
  </si>
  <si>
    <t>Hand Hygiene</t>
  </si>
  <si>
    <t>Conduct hand hygiene audits throughout the duration of the outbreak</t>
  </si>
  <si>
    <t>Visitors and Others Entering the Facility</t>
  </si>
  <si>
    <t>Resident/Patient Movement</t>
  </si>
  <si>
    <t>Droplet/Contact Precautions and Personal Protective Equipment</t>
  </si>
  <si>
    <t>Implement droplet/contact precautions as appropriate for the organism (generally contact precautions required for outbreaks of gastroenteritis).</t>
  </si>
  <si>
    <t>Ensure appropriate disposal containers are available at point of PPE removal</t>
  </si>
  <si>
    <t xml:space="preserve">Conduct PPE audits throughout the duration of the outbreak </t>
  </si>
  <si>
    <t>Ensure resident care equipment is not shared or is thoroughly cleaned and disinfected between use (i.e. thermometers, stethoscopes etc.)</t>
  </si>
  <si>
    <t>Staff/Volunteers/Students</t>
  </si>
  <si>
    <t>Ill staff/students/volunteers are aware of who to contact to report illness. Exclude ill staff/volunteers/students as directed by Public Health Sudbury &amp; Districts and the Outbreak Management Team in accordance with the organism identified</t>
  </si>
  <si>
    <t>Environmental Cleaning</t>
  </si>
  <si>
    <t>Cleaning schedules and resources reflect the need for increased attention to horizontal surfaces and high touch areas as per section 3b (p. 46) and appendix B (p. 134) in the PIDAC Best Practices for Environmental Cleaning document</t>
  </si>
  <si>
    <t>Cleaning and disinfecting products have not exceeded their shelf life and have a DIN#</t>
  </si>
  <si>
    <t xml:space="preserve">Cleaning products are being used as per manufacturer instructions </t>
  </si>
  <si>
    <t>Staff are aware of the proper contact time and dilution for the disinfectant product being used as per routine practices</t>
  </si>
  <si>
    <t>Conduct environmental cleaning audit</t>
  </si>
  <si>
    <t>Antivirals (Influenza Outbreaks Only)</t>
  </si>
  <si>
    <t>Declaring the Outbreak Over</t>
  </si>
  <si>
    <t>Click to return to Control Measures section of Summary</t>
  </si>
  <si>
    <t>Fields to Complete</t>
  </si>
  <si>
    <t>Outbreak Checklist</t>
  </si>
  <si>
    <t>Facility Observation, PHSD Staff Observation</t>
  </si>
  <si>
    <t>B3:C7,C8,B9:C9,B11:C16,B18:C26,B28:C32,B34:C40,B42:C52,B54:C62,B64:C67,B69:C73,B75:C77,B79:C81</t>
  </si>
  <si>
    <t>Unassessed,Satisfactory,See Recommendations, Not Applicable</t>
  </si>
  <si>
    <t>Yes</t>
  </si>
  <si>
    <t>Enter an assessment of how well this intervention was implemented.</t>
  </si>
  <si>
    <t>Susceptible Population</t>
  </si>
  <si>
    <t>Vaccinated Cases</t>
  </si>
  <si>
    <t>Summary P1</t>
  </si>
  <si>
    <t>A23</t>
  </si>
  <si>
    <t>Summary P2</t>
  </si>
  <si>
    <t>A5</t>
  </si>
  <si>
    <t>Summary P3</t>
  </si>
  <si>
    <t>A8</t>
  </si>
  <si>
    <t>Describe how outbreak started and any details about the spread of illness through the facility: which areas were impacted first, how it spread from there, etc.</t>
  </si>
  <si>
    <t>Describe in words which areas of the facility were impacted by the outbreak. If the entire facility was affected, you can simply type N/A.</t>
  </si>
  <si>
    <t>Symptomology:</t>
  </si>
  <si>
    <t>Describe the information presented in the table and figure below, particularly if there was any noticeable pattern reported by the facility in the order of symptom development, duration, etc.</t>
  </si>
  <si>
    <t>Recommendations:</t>
  </si>
  <si>
    <t>Summary P4</t>
  </si>
  <si>
    <t>Any additional comments you might have about the outbreak response not covered in the OB checklist.</t>
  </si>
  <si>
    <t>Your overall recommendations for improving the outbreak response and/or outcomes. Refer to the above checklist for areas which could benefit from improvement.</t>
  </si>
  <si>
    <t>0                                             100%</t>
  </si>
  <si>
    <t>Line List (click to open)</t>
  </si>
  <si>
    <t>Basic Information (click to open)</t>
  </si>
  <si>
    <t>Completion Checklist</t>
  </si>
  <si>
    <t>Current record count (Line List):</t>
  </si>
  <si>
    <t>Missing fields on basic information tab:</t>
  </si>
  <si>
    <t>Fields to complete:</t>
  </si>
  <si>
    <t>Missing fields on Outbreak Checklist tab:</t>
  </si>
  <si>
    <t>Outbreak Checklist (click to open)</t>
  </si>
  <si>
    <t>Use the completion checklist at right to ensure that once your data have been line listed, the remaining required information is populated to enable a complete, generated report to be printed. When all fields have been entered, the items on the checklist will lose their highlighted backgrounds (all backgrounds will be white).</t>
  </si>
  <si>
    <t>How to Print a Line List</t>
  </si>
  <si>
    <t>How to Print the Report</t>
  </si>
  <si>
    <t>INSTRUCTIONS</t>
  </si>
  <si>
    <t>if there are missing fields on Basic Information tab or Outbreak Checklist tab, highlight the cell displaying the count</t>
  </si>
  <si>
    <t>#C90062</t>
  </si>
  <si>
    <t>Bold, #FFFFFF</t>
  </si>
  <si>
    <t>If any of the summary fields are blank, highlight them as 'To Complete'</t>
  </si>
  <si>
    <t>This is the instructions sheet, which provides an explanation of how to use the file, and also contains a completion checklist to check for missing information that should be included.</t>
  </si>
  <si>
    <t>How to Use the Completion Checklist (this tab)</t>
  </si>
  <si>
    <t>This is the Basic Information tab, where information pertaining to the overall outbreak should be entered.</t>
  </si>
  <si>
    <t>This is the line list tab, where case information are entered line by line.</t>
  </si>
  <si>
    <t xml:space="preserve">This is the Outbreak Checklist tab, which provides a table in which facilities can self-assess their response, and PHSD staff can provide an outside assessment. </t>
  </si>
  <si>
    <t>This is the second page of the four-page summary. There are two fields to complete on this page.</t>
  </si>
  <si>
    <t>This is the third page of the four-page summary. There is one field to complete on this page.</t>
  </si>
  <si>
    <t>This is the final page of the four-page summary. There are two fields to complete on this page.</t>
  </si>
  <si>
    <t>Overview</t>
  </si>
  <si>
    <t>Report on Outbreak 
Current to: 00-Jan-1900</t>
  </si>
  <si>
    <t>FORMULA: =AND(COUNTA($AF5:$AV5)&gt;0,COUNTA($B5:$BF5)&gt;0,ISBLANK($AE5))</t>
  </si>
  <si>
    <t>If any symptom is entered in a populated line and onset date is not entered, highlight onset date</t>
  </si>
  <si>
    <t>How to Use This File (Remember to Enable Content Above)</t>
  </si>
  <si>
    <t>This is the first page of the four-page summary. There is one field to complete on this page.</t>
  </si>
  <si>
    <t>Include a basic narrative summary about the outbreak. This does not need to be exhaustive - most of the information will be captured elsewhere in this four-page report.</t>
  </si>
  <si>
    <r>
      <t>Outbreak Summary</t>
    </r>
    <r>
      <rPr>
        <b/>
        <u/>
        <sz val="11"/>
        <color theme="0"/>
        <rFont val="Calibri"/>
        <family val="2"/>
        <scheme val="minor"/>
      </rPr>
      <t xml:space="preserve"> - include a basic narrative about the outbreak in the next cell</t>
    </r>
  </si>
  <si>
    <r>
      <t>Additional Comments About Control Measures:</t>
    </r>
    <r>
      <rPr>
        <b/>
        <u/>
        <sz val="11"/>
        <color theme="0"/>
        <rFont val="Calibri"/>
        <family val="2"/>
        <scheme val="minor"/>
      </rPr>
      <t xml:space="preserve"> Add any comments you may have about the outbreak in the next cell</t>
    </r>
  </si>
  <si>
    <r>
      <t>Recommendations:</t>
    </r>
    <r>
      <rPr>
        <b/>
        <u/>
        <sz val="11"/>
        <color theme="0"/>
        <rFont val="Calibri"/>
        <family val="2"/>
        <scheme val="minor"/>
      </rPr>
      <t xml:space="preserve"> Add any recommendations for improving the outbreak response in the next cell.</t>
    </r>
  </si>
  <si>
    <t xml:space="preserve">What follows is an accounting of case counts, susceptible populations, and attack rates. </t>
  </si>
  <si>
    <t>(this is a calculated field, and the decision to declare an outbreak over may account for multiple factors)</t>
  </si>
  <si>
    <t>Data Prep</t>
  </si>
  <si>
    <t>FORMULA: = ak7&lt;&gt;""</t>
  </si>
  <si>
    <t>If the row header is populated, fill cells</t>
  </si>
  <si>
    <t>$AK$7:$AM$29</t>
  </si>
  <si>
    <t>FORMULA: = ah7&lt;&gt;""</t>
  </si>
  <si>
    <t>If the cell is populated, fill cells</t>
  </si>
  <si>
    <t>FORMULA: = ac7&lt;&gt;""</t>
  </si>
  <si>
    <t>#B0FBFF</t>
  </si>
  <si>
    <t>#ECF7D0</t>
  </si>
  <si>
    <t>$AH7:$AJ$29</t>
  </si>
  <si>
    <t>$AD7:$AG$29</t>
  </si>
  <si>
    <t>$AC7:$AM$29</t>
  </si>
  <si>
    <t>#00747A bottom border 1 pt</t>
  </si>
  <si>
    <t>Data bar 0 to 1 gradient #00747A to white, #00747A border</t>
  </si>
  <si>
    <t>$O$46:$O$62</t>
  </si>
  <si>
    <t>If the cell is populated, add a data bar (for the symptom graph in the summary).</t>
  </si>
  <si>
    <r>
      <t xml:space="preserve">Use the Basic Information tab and complete the </t>
    </r>
    <r>
      <rPr>
        <b/>
        <sz val="11"/>
        <color theme="5" tint="0.39997558519241921"/>
        <rFont val="Calibri"/>
        <family val="2"/>
        <scheme val="minor"/>
      </rPr>
      <t>DARK PINK</t>
    </r>
    <r>
      <rPr>
        <sz val="11"/>
        <color theme="3"/>
        <rFont val="Calibri"/>
        <family val="2"/>
        <scheme val="minor"/>
      </rPr>
      <t xml:space="preserve"> fields with relevant information about the outbreak. These populate information on the final OB report. Light pink fields are not mandatory.</t>
    </r>
  </si>
  <si>
    <t>Case (not linked to OB)</t>
  </si>
  <si>
    <t>Date Prophylactic Oseltamivir Started:</t>
  </si>
  <si>
    <t>B19</t>
  </si>
  <si>
    <t>B21</t>
  </si>
  <si>
    <t>Basic Information'!$A$29:OFFSET('Basic Information'!$A$29,COUNTA('Basic Information'!$A$29:$A$51),,1)</t>
  </si>
  <si>
    <t>This tab contains the influenza report, which must be completed for outbreaks due to influenza or combined influenza outbreaks.</t>
  </si>
  <si>
    <t>Does the facility have a staff exclusion policy?</t>
  </si>
  <si>
    <t>Was an order issued under Section 22 of the HPPA by the Medical Officer of Health?</t>
  </si>
  <si>
    <t xml:space="preserve">    If yes, why?</t>
  </si>
  <si>
    <t xml:space="preserve">    Were staff excluded during this outbreak as a result of this policy?</t>
  </si>
  <si>
    <t>Was influenza immunization offered to residents/patients during the current outbreak?</t>
  </si>
  <si>
    <t>Does the facility have an exclusion policy requiring staff influenza immunization?</t>
  </si>
  <si>
    <t>Was influenza immunization offered to staff on-site this influenza and respiratory infection season (October to April)?</t>
  </si>
  <si>
    <t>Was influenza immunization offered to staff on-site during the current outbreak?</t>
  </si>
  <si>
    <t>Were staff excluded from work during the outbreak because theywere not immunized and not on antiviral medication?</t>
  </si>
  <si>
    <t xml:space="preserve">    If yes, specify the number of staff excluded.</t>
  </si>
  <si>
    <t>Was antiviral medication administered for residents/patients?</t>
  </si>
  <si>
    <t>Was antiviral medication administered for staff?</t>
  </si>
  <si>
    <t>Amantadine - Range of length of prophylaxis, in days (STAFF)</t>
  </si>
  <si>
    <t>Amantadine - Length of treatment in days (STAFF)</t>
  </si>
  <si>
    <t>Amantadine - Range of length of prophylaxis, in days (RESIDENTS)</t>
  </si>
  <si>
    <t>Amantadine - Length of treatment in days (RESIDENTS)</t>
  </si>
  <si>
    <t>Tamiflu - Range of length of prophylaxis, in days (STAFF)</t>
  </si>
  <si>
    <t>Tamiflu - Length of treatment in days (STAFF)</t>
  </si>
  <si>
    <t>Tamiflu - Range of length of prophylaxis, in days (RESIDENTS)</t>
  </si>
  <si>
    <t>Tamiflu - Length of treatment in days (RESIDENTS)</t>
  </si>
  <si>
    <t>Relenza - Range of length of prophylaxis, in days (STAFF)</t>
  </si>
  <si>
    <t>Relenza - Length of treatment in days (STAFF)</t>
  </si>
  <si>
    <t>Relenza - Range of length of prophylaxis, in days (RESIDENTS)</t>
  </si>
  <si>
    <t>Relenza - Length of treatment in days (RESIDENTS)</t>
  </si>
  <si>
    <t>Did amantadine/tamiflu/relenza appear to decrease the number of new cases among residents/patients within 72 hours?</t>
  </si>
  <si>
    <t xml:space="preserve">    If no, were additional nasopharyngeal specimens sent to the laboratory?</t>
  </si>
  <si>
    <t>Did anyone contract influenza-like illneess (ILI) while on prophylactic medication for over 72 hours?</t>
  </si>
  <si>
    <t xml:space="preserve">    If yes, were any of the cases lab-confirmed influenza?</t>
  </si>
  <si>
    <t>If side effects to oseltamivir/relenza were reported, please indicate the side effects.</t>
  </si>
  <si>
    <t>Please state the reason(s) for antiviral medication use during a non-influenza outbreak.</t>
  </si>
  <si>
    <t>OPTIONAL</t>
  </si>
  <si>
    <t>Response Fields</t>
  </si>
  <si>
    <t>Was antiviral prophylaxis initiated within 24 hours of a laboratory confirmed influenza outbreak?</t>
  </si>
  <si>
    <t xml:space="preserve">    If yes, how many people contracted ILI while on antiviral prophylaxis?</t>
  </si>
  <si>
    <t>Unknown</t>
  </si>
  <si>
    <t>Intersex</t>
  </si>
  <si>
    <t>Not listed</t>
  </si>
  <si>
    <t>Type of Test</t>
  </si>
  <si>
    <t>Test</t>
  </si>
  <si>
    <t>RAT</t>
  </si>
  <si>
    <t>PCR</t>
  </si>
  <si>
    <t>Rapid Molecular</t>
  </si>
  <si>
    <t>Bacterial Culture and Sensitivity</t>
  </si>
  <si>
    <t>Norovirus Detection</t>
  </si>
  <si>
    <t>Clostridium Difficile Toxin</t>
  </si>
  <si>
    <t>Ova and Parasites</t>
  </si>
  <si>
    <t>Enteric Other</t>
  </si>
  <si>
    <t xml:space="preserve">Remind staff of the importance of not touching masks and eye protection, and if adjusting masks/eye protection is required, to perform hand hygiene. </t>
  </si>
  <si>
    <t>Ensure hand hygiene stations are readily available throughout the facility, including at the point-of-care and at each entrance for visitor use.</t>
  </si>
  <si>
    <t>Ensure that staff are cohorted such that specific staff are designated to work only with isolating individuals during their shift, if possible. If not possible to cohort staff, staff provide care in units in the order from asymptomatic to symptomatic.</t>
  </si>
  <si>
    <t>Post appropriate signage on doors of cases, e.g., droplet/contact precautions signage and donning and doffing posters.</t>
  </si>
  <si>
    <t>Ensure contact time, as indicated in the disinfectant’s manufacturer’s instructions for use, is adhered to. For high touch surfaces, ensure a product with shorter contact time is in use.</t>
  </si>
  <si>
    <t xml:space="preserve">Schedule an outbreak debrief meeting and include an IPAC practitioner to debrief on next steps. 
</t>
  </si>
  <si>
    <t>Symptomatic (DNM)</t>
  </si>
  <si>
    <t>Aetiologic Agent</t>
  </si>
  <si>
    <t>Influenza</t>
  </si>
  <si>
    <t>Rhinovirus</t>
  </si>
  <si>
    <t>Adenovirus</t>
  </si>
  <si>
    <t>Parainfluenza Virus</t>
  </si>
  <si>
    <t>Human Metapneumovirus</t>
  </si>
  <si>
    <t>Bocavirus</t>
  </si>
  <si>
    <t>Human Coronaviruses</t>
  </si>
  <si>
    <t>SARS-COV-2</t>
  </si>
  <si>
    <t>C. difficile</t>
  </si>
  <si>
    <t>Norovirus</t>
  </si>
  <si>
    <t>Other (specify in comments)</t>
  </si>
  <si>
    <t>Type of Test 2</t>
  </si>
  <si>
    <t>Remind and assist residents to perform hand hygiene frequently.</t>
  </si>
  <si>
    <t>Instructions on how to properly perform hand hygiene are posted.</t>
  </si>
  <si>
    <t>Liquid hand soap is appropriately placed at hand washing stations.</t>
  </si>
  <si>
    <t>For enteric outbreaks, residents with gastrointestinal symptoms should remain in their rooms and be provided with tray service. The facility should not allow infected residents to participate in group activities for at least 48 hours after their symptoms have resolved.</t>
  </si>
  <si>
    <t>Re-schedule all non-essential outpatient visits.</t>
  </si>
  <si>
    <t>Wear gloves and a gown when handling dirty laundry. Laundry should be handled gently without shaking.</t>
  </si>
  <si>
    <t xml:space="preserve">Where possible, staff should only work in one facility. </t>
  </si>
  <si>
    <t>Increase frequency of environmental cleaning, especially high-touch surfaces.</t>
  </si>
  <si>
    <t>Ensure that the laundry room is equipped with ABHR and/or a handwashing station, a PPE donning and doffing area, as well as signage for donning/doffing PPE and hand hygiene.</t>
  </si>
  <si>
    <t>Advise unimmunized staff to take antivirals.</t>
  </si>
  <si>
    <t>Antivirals (COVID-19 Only)</t>
  </si>
  <si>
    <t>Antivirals (Mixed Outbreaks with COVID-19 and Influenza)</t>
  </si>
  <si>
    <t>Offer influenza antiviral prophylaxis to all asymptomatic residents and residents who are COVID-19 positive/influenza negative. 
COVID-19 positive residents can take Tamiflu and Paxlovid antivirals at the same time at the discretion of their treating physician.</t>
  </si>
  <si>
    <t>Not Applicable</t>
  </si>
  <si>
    <r>
      <t>Symptomology:</t>
    </r>
    <r>
      <rPr>
        <b/>
        <u/>
        <sz val="11"/>
        <color theme="2"/>
        <rFont val="Calibri"/>
        <family val="2"/>
        <scheme val="minor"/>
      </rPr>
      <t xml:space="preserve"> </t>
    </r>
    <r>
      <rPr>
        <b/>
        <u/>
        <sz val="11"/>
        <color theme="0"/>
        <rFont val="Calibri"/>
        <family val="2"/>
        <scheme val="minor"/>
      </rPr>
      <t>Describe any noticeable patterns in symptoms in the next cell.</t>
    </r>
  </si>
  <si>
    <r>
      <t>Affected Areas:</t>
    </r>
    <r>
      <rPr>
        <b/>
        <u/>
        <sz val="11"/>
        <color theme="2"/>
        <rFont val="Calibri"/>
        <family val="2"/>
        <scheme val="minor"/>
      </rPr>
      <t xml:space="preserve"> </t>
    </r>
    <r>
      <rPr>
        <b/>
        <u/>
        <sz val="11"/>
        <color theme="0"/>
        <rFont val="Calibri"/>
        <family val="2"/>
        <scheme val="minor"/>
      </rPr>
      <t>Describe which areas were affected in this outbreak in the next cell. If whole facility, type N/A.</t>
    </r>
  </si>
  <si>
    <r>
      <t>Outbreak Origin and Spread Through Facility:</t>
    </r>
    <r>
      <rPr>
        <b/>
        <u/>
        <sz val="11"/>
        <color theme="0"/>
        <rFont val="Calibri"/>
        <family val="2"/>
        <scheme val="minor"/>
      </rPr>
      <t xml:space="preserve"> Describe how outbreak started and spread through the facility in the next cell.</t>
    </r>
  </si>
  <si>
    <t>Cohort staff (including agency staff) during consecutive shifts to minimize movement between the affected and unaffected units and for resident care.</t>
  </si>
  <si>
    <t>Respiratory Syncitial Virus</t>
  </si>
  <si>
    <t>Causative Organism Identified</t>
  </si>
  <si>
    <t>FLUVID</t>
  </si>
  <si>
    <t>Multiplex (MVRP)</t>
  </si>
  <si>
    <t>FORMULA: =c20</t>
  </si>
  <si>
    <t>FORMULA: =c22="To Complete"</t>
  </si>
  <si>
    <t>$C$20:$C$21</t>
  </si>
  <si>
    <t>$C$22:$C$28</t>
  </si>
  <si>
    <t>Test Date</t>
  </si>
  <si>
    <t>Test Date 2</t>
  </si>
  <si>
    <t>Causative Organism  Identifed 2</t>
  </si>
  <si>
    <t>Sx Onset Date</t>
  </si>
  <si>
    <t>Sx Resolved Date</t>
  </si>
  <si>
    <t xml:space="preserve"> </t>
  </si>
  <si>
    <t xml:space="preserve">Active daily screening of all residents and staff for signs of respiratory or enteric infection in accordance with current guidelines. </t>
  </si>
  <si>
    <t xml:space="preserve">Active screening should be conducted for all staff, students, volunteers and essential visitors entering the facility. </t>
  </si>
  <si>
    <t>For respiratory outbreaks, consult with the public health nurse about testing and about infection control measures. 
For enteric outbreaks, consult with the public health inspector about collecting stool specimens and about infection control measures.</t>
  </si>
  <si>
    <t>Obtain an outbreak number from Public Health Sudbury &amp; Districts</t>
  </si>
  <si>
    <t>First FOUR ill residents in an outbreak SHOULD get a multiplex PCR test to test for all of the different viruses that can cause respiratory outbreaks.</t>
  </si>
  <si>
    <t>Notify the coroner and Public Health Sudbury &amp; Districts of any deaths that occur during the outbreak.</t>
  </si>
  <si>
    <t>Notify facility physician, upper management, LTCH compliance officer, and other individuals associated with the facility as per agency policy, and review all infection control measures implemented.</t>
  </si>
  <si>
    <t>When permitted, essential caregivers/visitors visiting symptomatic clients/patients/residents to wear PPE (mask, gown, gloves, approprite eye protection, depending on symptoms) and to perform hand hygiene with alcohol-based hand rub (ABHR) before donning and doffing PPE.</t>
  </si>
  <si>
    <t>A visitor log is maintained that documents the date and time visited, the name and contact information for all individuals who enter the facility, and the persons visited while in the facility. A process should be in place to provide PPE and hand hygiene education to visitors.</t>
  </si>
  <si>
    <t>Symptomatic clients/patients/residents are allowed to attend medically necessary activities or appointments. For respiratory outbreaks, they are recommended to wear an appropriate mask, as tolerated.</t>
  </si>
  <si>
    <t>Refer to sector-specific guidance on absences for clients/patients/residents; the PHU/OMT may provide guidance for absences during an outbreak to minimize risk of spread.</t>
  </si>
  <si>
    <t>Cases (ill residents) should be encoraged to stay in their room and should be on Droplet and Contact Precautions until 5 days after the onset of acute illness or until symptoms have resolved (whichever is shorter).</t>
  </si>
  <si>
    <t>Clients/patients/residents are encouraged to wear a well-fitted mask, if tolerated, when receiving care and when outside of their room until day 10 from symptom onset.</t>
  </si>
  <si>
    <t>For enteric outbreaks, additional precautions for ill residents can be lifted 48 hours after symptom resolution and in consultation with Public Health Sudbury &amp; Districts.</t>
  </si>
  <si>
    <t>For roommates that can be moved, they should be placed on Additional Precautions for one incubation period (or 5 days if pathogen is unknown). Following this period, the moved roommate close contact should wear a well-fitting mask, if tolerated, when receiving care and when outside of their room until day 7 from the case's symptom onset.</t>
  </si>
  <si>
    <t>Roommate close contacts who remain in the same room should be placed on Additional Precautions for 5 days from the case's symptom onset given their close and ongoing exposure. Following this period, the roommate close contact should wear a well-fitting mask, if tolerated, when receiving care and when outside of their room until day 10 from the case's symptom onset.</t>
  </si>
  <si>
    <t>Resident off-unit privileges are strictly monitored or cancelled in accordance with applicable provincial guidance.</t>
  </si>
  <si>
    <t>Vaccinated - COVID</t>
  </si>
  <si>
    <t>Vaccinated - Influenza</t>
  </si>
  <si>
    <t>Antivirals Administered?</t>
  </si>
  <si>
    <t>XRAY Confirmed Pneumonia?</t>
  </si>
  <si>
    <t>Client able to mask as per Public Health after isolation?</t>
  </si>
  <si>
    <t>Closure: Full - Voluntary (specify)</t>
  </si>
  <si>
    <t>Closure: Full - Directed by PHU (specify)</t>
  </si>
  <si>
    <t>Closure: Partial - Directed by PHU (specify)</t>
  </si>
  <si>
    <t>Closure: Partial  - Voluntary (specify)</t>
  </si>
  <si>
    <t>Closure: Shift/Cohort Dismissed - Directed by PHU (specify)</t>
  </si>
  <si>
    <t>Closure: Shift/Cohort Dismissed - Voluntary (specify)</t>
  </si>
  <si>
    <t>Cohorting (specify)</t>
  </si>
  <si>
    <t>Education Provided (specify)</t>
  </si>
  <si>
    <t>Enforcement (specify)</t>
  </si>
  <si>
    <t>External Communication/Resources Provided (specify)</t>
  </si>
  <si>
    <t>Infection Prevention and Control Measure (specify)</t>
  </si>
  <si>
    <t>Meeting (specify)</t>
  </si>
  <si>
    <t>Site Visit Made (specify)</t>
  </si>
  <si>
    <t>Staffing (specify)</t>
  </si>
  <si>
    <t>Surveillance/Testing (specify)</t>
  </si>
  <si>
    <t>Other Outbreak Intervention #1 (specify)</t>
  </si>
  <si>
    <t>Other Outbreak Intervention #2 (specify)</t>
  </si>
  <si>
    <t>COMPLETE THIS SECTION FOR APPLICABLE OUTBREAKS</t>
  </si>
  <si>
    <t>INFLUENZA OR COMBINED INFLUENZA OUTBREAKS</t>
  </si>
  <si>
    <t>ANTIVIRAL USE DURING THE OUTBREAK</t>
  </si>
  <si>
    <t>ANTIVIRAL USE DURING A NON-INFLUENZA OUTBREAK</t>
  </si>
  <si>
    <t>Causative Organism(S):</t>
  </si>
  <si>
    <t>First Causative Organism</t>
  </si>
  <si>
    <t>Second Causative Organism</t>
  </si>
  <si>
    <t>Third Causative Organism</t>
  </si>
  <si>
    <t>Cough (Dry, Productive, Worsening)</t>
  </si>
  <si>
    <t>Diarrhea (Watery, Bloody, Greasy)</t>
  </si>
  <si>
    <t>Specify Organism</t>
  </si>
  <si>
    <t>Specify Organism 2</t>
  </si>
  <si>
    <t xml:space="preserve">    If yes, please specify under what circumstances (e.g., were they vaccinated or not?)</t>
  </si>
  <si>
    <t>Onset</t>
  </si>
  <si>
    <t>Test1</t>
  </si>
  <si>
    <t>Test2</t>
  </si>
  <si>
    <t>&lt; Days from Day 0 (Resident)</t>
  </si>
  <si>
    <t>&lt; Days from Isolation (Resident)</t>
  </si>
  <si>
    <t>&lt; Days from Isolation/LDW (All)</t>
  </si>
  <si>
    <t>Potential DDO Values:</t>
  </si>
  <si>
    <t>Organism2</t>
  </si>
  <si>
    <t>Organism3</t>
  </si>
  <si>
    <t>Potential DDO Max:</t>
  </si>
  <si>
    <t>Missing Responses:</t>
  </si>
  <si>
    <t>Regularly check expiry date of nasopharyngeal swabs and stool kits at the facility and replenish as required. Eligible facilities can continue to order rapid antigen tests via the PPE Supply Portal to support outbreak prevention and management.</t>
  </si>
  <si>
    <t>Facility Contact Name:</t>
  </si>
  <si>
    <t>Facility Contact Phone #:</t>
  </si>
  <si>
    <t>Floors/Wings/Units/Areas Affected:</t>
  </si>
  <si>
    <t>Vaccinated - RSV</t>
  </si>
  <si>
    <t>Coordinate regular outbreak team meetings (the team may consist of infection control, public health, occupational health, management, environmental services, laboratory, pharmacy, etc.).</t>
  </si>
  <si>
    <t>Ensure the ABHR is authorized for use by Health Canada and expiry date, natural products number (NPN) and alcohol concentration printed on the label. Click on this cell to be directed to the Health Canada list of approved ABHR products.</t>
  </si>
  <si>
    <t xml:space="preserve">All cases should be placed on Additional Precautions, tested for COVID-19 and other respiratory viruses, and monitored at least once daily for symptoms. </t>
  </si>
  <si>
    <t>Cases may leave their room while on Droplet and Contact Precautions if they are able to perform hand hygiene and consistently wear a well-fitted medical mask. Symptomatic clients/patients/residents should avoid contact with other clients/patients/residents.</t>
  </si>
  <si>
    <t>Each staff break area has sufficient stock of the following supplies: medical masks, ABHR, gloves, no touch garbage bin, and cleaning/disinfection wipes.</t>
  </si>
  <si>
    <t>Offer antiviral prophylaxis to all asymptomatic residents.</t>
  </si>
  <si>
    <t xml:space="preserve">Ensure resident cases have been evaluated for antiviral treatment and have access to them. </t>
  </si>
  <si>
    <t>Where an enteric outbreak has been declared, stool samples should be collected. Refer to Public Health Ontario’s testing information for guidance. Ensure correct collection and labelling of specimens and lab requisition forms. At least three unique identifiers are required on the specimen container(s). The identifiers must match the requisition form (D.O.B., name of resident, date collected, and/or outbreak number, etc.). Click on this cell to be directed to Public Health Ontario's  testing information.</t>
  </si>
  <si>
    <t>Activities</t>
  </si>
  <si>
    <t>Social activities are modified to prevent infection transmission.</t>
  </si>
  <si>
    <t>Residents on isolation do not participate in group activities.</t>
  </si>
  <si>
    <t xml:space="preserve">   Enterovirus</t>
  </si>
  <si>
    <t>Use the OB Checklist tab to enter ratings for response components. These provide helpful feedback to facilities and to Public Health in the final OB report.</t>
  </si>
  <si>
    <t>Outbreak summary:</t>
  </si>
  <si>
    <t>Affected areas:</t>
  </si>
  <si>
    <t>Outbreak origin and spread through facility:</t>
  </si>
  <si>
    <t>Additional comments about control measures:</t>
  </si>
  <si>
    <t>iPHIS outbreak report:</t>
  </si>
  <si>
    <t>When you are ready to print a 4 page report of your records, select all four Summary tabs by holding down Ctrl while clicking each one in order (P1, P2, P3, P4). You can then select File and Print as usual. To deselect the 4 tabs when you're done, simply click any other tab.</t>
  </si>
  <si>
    <t>Public Health Lead:</t>
  </si>
  <si>
    <t>Residents (Not vaccinated or unknown)</t>
  </si>
  <si>
    <t>Staff (Not vaccinated / unknown)</t>
  </si>
  <si>
    <t>Date Reported to Public Health</t>
  </si>
  <si>
    <t>Isolation Start Date or Last Day Worked</t>
  </si>
  <si>
    <t>Role, contact info, and critical dates</t>
  </si>
  <si>
    <t>Reinforce 4 moments of hand hygiene with soap and water or 70% alcohol-based hand rub (ABHR) with staff, volunteers, students, essential caregivers and visitors.</t>
  </si>
  <si>
    <t>Public Health Staff Observation</t>
  </si>
  <si>
    <t>Public Health to notify Public Health Ontario Laboratory of outbreak.</t>
  </si>
  <si>
    <t>Surveillance
Complete and submit the line list via email to Line_Listing_Reporting@Public Health.ca or by fax at 705-677-9618 (secure fax) daily by 10 am or as advised by Public Health outbreak lead. Please note for each outbreak number a separate LL should be submitted. 
Be sure to email (or fax) any additions or changes to the line listing promptly and notify the public health nurse (respiratory outbreak) or public health inspector (enteric outbreak) by phone of the updated line list</t>
  </si>
  <si>
    <t>Contacts:
Respiratory Outbreak: 705-522.9200, ext. 267 | Enteric Outbreak: 705-522-9200 x464 | line_listing_reporting@phsd.ca
After hoursorweekends (either Respiratory or Enteric): 705-688-4366, page the on-call staff to report the suspected OB.</t>
  </si>
  <si>
    <t>Symptomatic visitors or essential caregivers are not to enter the setting.</t>
  </si>
  <si>
    <t>A process to monitor visitor or essential caregiver movement is in place. A log is maintained documenting the date and time visited, name and contact information for all individuals who enter the facility, and the persons visited while in the facility.</t>
  </si>
  <si>
    <t>For facilities or areas in respiratory outbreak, residents must be cohorted (including separating exposed versus unexposed residents) for all non-essential activities, including communal dining, organized events, and social gatherings. Different cohorts are not to be mixed. Facilities are to follow cohorting practices as outined in the Ministry guidance.</t>
  </si>
  <si>
    <t>Immediately isolate and cohort suspect residents (presenting with one symptom) using droplet or contact precautions and reassess at 24 hrs from symptom onset. Provide tray meal service by designated staff to these residents in their room.</t>
  </si>
  <si>
    <t>There is a process or policy in place regarding break room use for staff who are cohorting due to outbreak or staff returning to work early following illness</t>
  </si>
  <si>
    <t>Influenza antiviral treatment is provided as soon as possible, for symptomatic residents or clients during influenza outbreak. Discontinuing influenza antivirals if resident’s influenza testing reports negative.</t>
  </si>
  <si>
    <t>Start a line list as soon as any residents or staff exhibit respiratory or gastrointestinal symptoms.</t>
  </si>
  <si>
    <t>Provide notification to the following that the outbreak has been declared over:
• Hospitals, Home and Community Care Support Services, Ambulance,  and  other local LTCHs (done by Public Health)
• Facility physicians, upper management, LTCH compliance officer, and other individuals associated with the facility as per agency policy
• All staff departments, volunteers, residents, and families/visitors</t>
  </si>
  <si>
    <t>Public Health will notify Hospitals, Home and Community Care Support Services, Ambulance,  and  other local LTCHs.</t>
  </si>
  <si>
    <t>Notify all staff departments, volunteers  and  students of outbreak.</t>
  </si>
  <si>
    <t>Notify all visitors  and  families of outbreak.</t>
  </si>
  <si>
    <t>Place appropriate outbreak signage on facility  and  unit entrance once the outbreak is declared.</t>
  </si>
  <si>
    <t>Ensure proper steps for donning and doffing of PPE (including hand hygiene) are reviewed  and  followed as per Public Health Ontario best practice guidelines. Click this cell to be directed to the PHO guidelines.</t>
  </si>
  <si>
    <t>Ideally, roommate close contacts are placed in a separate room to isolate away from the case. When this is not possible, the use of physical barriers (for example  curtains or a cleanable barrier) to create separation between the case and the roommate is recommended.</t>
  </si>
  <si>
    <t>Ensure PPE (gown, gloves, mask, N95 respirators,  and  eye protection) is readily available at residents' door for any staff or family members providing care.</t>
  </si>
  <si>
    <r>
      <t xml:space="preserve">If you require a printed  copy of the line list, you can print one while you have the Line List tab selected. The sheet will print across 3 pages before moving down to the next lines. Each page will have the line list number and the case name as the first two columns. This is formatted for print-friendly use in case of a need to periodically capture data on paper before </t>
    </r>
    <r>
      <rPr>
        <strike/>
        <sz val="11"/>
        <color theme="3"/>
        <rFont val="Calibri"/>
        <family val="2"/>
        <scheme val="minor"/>
      </rPr>
      <t>data</t>
    </r>
    <r>
      <rPr>
        <sz val="11"/>
        <color theme="3"/>
        <rFont val="Calibri"/>
        <family val="2"/>
        <scheme val="minor"/>
      </rPr>
      <t xml:space="preserve"> entering data to the sheet.</t>
    </r>
  </si>
  <si>
    <t>PCR testing with Fluvid is available for all subsequent ill residents in the outbreak. Symptomatic staff are eligible for testing as part of an outbreak.</t>
  </si>
  <si>
    <r>
      <t xml:space="preserve"> </t>
    </r>
    <r>
      <rPr>
        <i/>
        <u/>
        <sz val="11"/>
        <color theme="3"/>
        <rFont val="Calibri"/>
        <family val="2"/>
        <scheme val="minor"/>
      </rPr>
      <t>For Respiratory Outbreaks:</t>
    </r>
    <r>
      <rPr>
        <sz val="11"/>
        <color theme="3"/>
        <rFont val="Calibri"/>
        <family val="2"/>
        <scheme val="minor"/>
      </rPr>
      <t xml:space="preserve">
In collaboration with public health, viral respiratory outbreaks may be declared over if no new cases have occurred in 8 days from the onset of symptoms of the last resident case or 3 days from the last day of work of an ill staff, whichever is longer.
</t>
    </r>
    <r>
      <rPr>
        <i/>
        <u/>
        <sz val="11"/>
        <color theme="3"/>
        <rFont val="Calibri"/>
        <family val="2"/>
        <scheme val="minor"/>
      </rPr>
      <t>For Enteric Outbreaks:</t>
    </r>
    <r>
      <rPr>
        <sz val="11"/>
        <color theme="3"/>
        <rFont val="Calibri"/>
        <family val="2"/>
        <scheme val="minor"/>
      </rPr>
      <t xml:space="preserve">
Consult Public Health to determine whether the outbreak can be declared over.
The specific period varies by microorganism:
• No new cases after one infectious period plus one incubation period. For example, the most common type of enteric illness in LTCHs is Norovirus. As per Appendix 14 - Position Statement, a Norovirus outbreak can be declared over after five days.</t>
    </r>
  </si>
  <si>
    <t>To report any  issues with this spreadsheet, please reach out to your nurse or health inspector lead for this outbreak</t>
  </si>
  <si>
    <r>
      <t>Use the Line List to enter basic outbreak information about cases, contacts, and symptomatic residents and staff. It is not mandatory to enter contacts</t>
    </r>
    <r>
      <rPr>
        <sz val="11"/>
        <color rgb="FFFF0000"/>
        <rFont val="Calibri"/>
        <family val="2"/>
        <scheme val="minor"/>
      </rPr>
      <t xml:space="preserve"> </t>
    </r>
    <r>
      <rPr>
        <sz val="11"/>
        <color theme="3"/>
        <rFont val="Calibri"/>
        <family val="2"/>
        <scheme val="minor"/>
      </rPr>
      <t xml:space="preserve">on the line list. </t>
    </r>
    <r>
      <rPr>
        <b/>
        <sz val="11"/>
        <color theme="3"/>
        <rFont val="Calibri"/>
        <family val="2"/>
        <scheme val="minor"/>
      </rPr>
      <t>It is mandatory to capture cases and symptomatic residents and staff.</t>
    </r>
    <r>
      <rPr>
        <sz val="11"/>
        <color theme="3"/>
        <rFont val="Calibri"/>
        <family val="2"/>
        <scheme val="minor"/>
      </rPr>
      <t xml:space="preserve"> Public Health asks that line lists be sent by fax or email by 10:00 a.m. each morning while the outbreak is active.</t>
    </r>
  </si>
  <si>
    <r>
      <rPr>
        <sz val="11"/>
        <rFont val="Calibri"/>
        <family val="2"/>
        <scheme val="minor"/>
      </rPr>
      <t xml:space="preserve">Report suspect or confirmed outbreak to Public Health [See Contacts at top of sheet]
Suspect Respiratory Infection Outbreak: 
• Two (2) or more patient/resident cases of  acute respiratory infections (ARI) with symptom onset within 48 hours with an epidemiological link (For examplesame unit/floor/service area) suggestive of transmission in the setting AND testing is not available or all negative. 
Confirmed Respiratory Infection Outbreak:   
• Only two (2) patient/resident cases of test-confirmed acute respiratory infections (ARI) with symptom onset within 48 hours and an epidemiological link (For example same unit/floor/service area) suggestive of transmission within the setting. 
OR
• Three (3) or more patient/resident cases of ARI with symptom onset within 48 hours and an epidemiological link </t>
    </r>
    <r>
      <rPr>
        <strike/>
        <sz val="11"/>
        <rFont val="Calibri"/>
        <family val="2"/>
        <scheme val="minor"/>
      </rPr>
      <t xml:space="preserve"> </t>
    </r>
    <r>
      <rPr>
        <sz val="11"/>
        <rFont val="Calibri"/>
        <family val="2"/>
        <scheme val="minor"/>
      </rPr>
      <t>suggestive of transmission within the setting AND testing is not available or all negative.
Enteric Outbreak
Case definition: Two (2) or more episodes of diarrhea, two (2) or more episodes of vomiting and/or diarrhea that cannot be attributed to another cause within a 24 hour period OR lab confirmation of a known gastrointestinal pathogen and at least one symptom compatible.
Suspect Enteric Outbreak:
• Two (2) cases in a specific area (i.e. unit) within 48 hours.
Confirmed Enteric Outbreak:
• Two (2) staff or resident cases meeting the case definition with a common epidemiological link (For example specific unit, floor, caregiver) with initial onset within 48 hours.</t>
    </r>
  </si>
  <si>
    <t xml:space="preserve">Collect and submit specimens in accordance with the current Public Health Ontario Laboratory Respiratory Outbreak Testing Prioritization Protocol available and Labstract: Respiratory Virus Testing Update.
• Print the requisition on a green or coloured paper (not white) and indicate the outbreak number clearly on the paper
• Indicate the name of the ordering physician for the facility on the requisition (not the Medical Officer of Health)
• Refrigerate specimens until they are ready to be transported or until next business day </t>
  </si>
  <si>
    <r>
      <t xml:space="preserve">Re-admissions, admissions, </t>
    </r>
    <r>
      <rPr>
        <sz val="11"/>
        <rFont val="Calibri"/>
        <family val="2"/>
        <scheme val="minor"/>
      </rPr>
      <t>and transfers to or from facilities in outbreak are to</t>
    </r>
    <r>
      <rPr>
        <sz val="11"/>
        <color theme="3"/>
        <rFont val="Calibri"/>
        <family val="2"/>
        <scheme val="minor"/>
      </rPr>
      <t xml:space="preserve"> consult with Public Health Sudbury &amp; Districts </t>
    </r>
    <r>
      <rPr>
        <i/>
        <sz val="11"/>
        <rFont val="Calibri"/>
        <family val="2"/>
        <scheme val="minor"/>
      </rPr>
      <t>Transfer and Admission Flowchart</t>
    </r>
  </si>
  <si>
    <r>
      <t>Visitors or essential caregivers permitted to</t>
    </r>
    <r>
      <rPr>
        <sz val="11"/>
        <rFont val="Calibri"/>
        <family val="2"/>
        <scheme val="minor"/>
      </rPr>
      <t xml:space="preserve"> enter</t>
    </r>
    <r>
      <rPr>
        <sz val="11"/>
        <color theme="3"/>
        <rFont val="Calibri"/>
        <family val="2"/>
        <scheme val="minor"/>
      </rPr>
      <t xml:space="preserve"> the facility only as reflected in current outbreak guidance (Recommendations for OB prevention and control in institutionas and congregate living settings, 2024.</t>
    </r>
  </si>
  <si>
    <r>
      <t>Implement staff exclusion policy for unimmunized staff unwilling to take antivir</t>
    </r>
    <r>
      <rPr>
        <sz val="11"/>
        <rFont val="Calibri"/>
        <family val="2"/>
        <scheme val="minor"/>
      </rPr>
      <t>als per provincial guidance.</t>
    </r>
  </si>
  <si>
    <r>
      <t xml:space="preserve">Adhere to current guidelines </t>
    </r>
    <r>
      <rPr>
        <sz val="11"/>
        <rFont val="Calibri"/>
        <family val="2"/>
        <scheme val="minor"/>
      </rPr>
      <t xml:space="preserve">for transfers, </t>
    </r>
    <r>
      <rPr>
        <sz val="11"/>
        <color theme="3"/>
        <rFont val="Calibri"/>
        <family val="2"/>
        <scheme val="minor"/>
      </rPr>
      <t xml:space="preserve">admissions and re-admissions. Implement risk mitigation measures as outlined in </t>
    </r>
    <r>
      <rPr>
        <sz val="11"/>
        <rFont val="Calibri"/>
        <family val="2"/>
        <scheme val="minor"/>
      </rPr>
      <t xml:space="preserve">current guidelines and as directed by Public Health in the </t>
    </r>
    <r>
      <rPr>
        <i/>
        <sz val="11"/>
        <rFont val="Calibri"/>
        <family val="2"/>
        <scheme val="minor"/>
      </rPr>
      <t>Transfer and Admission Flowchart.</t>
    </r>
  </si>
  <si>
    <t>Ensure N95 fit tested respirators are available for aerosol-generating medical procedures as required in current directives.</t>
  </si>
  <si>
    <r>
      <t>Ill staff or volunteers are not permitted to work. Staff or volunteers with enteric illness may return 48 hours after symptoms have resolved. Staff or volunteers with respiratory illness may return to work after an appropriate period of isolation as per</t>
    </r>
    <r>
      <rPr>
        <sz val="11"/>
        <rFont val="Calibri"/>
        <family val="2"/>
        <scheme val="minor"/>
      </rPr>
      <t xml:space="preserve"> provincial guidance.</t>
    </r>
  </si>
  <si>
    <t>*After hours or weekends (either Resp or Enteric): 705-688-4366, page the on-call staff to report the suspected 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</si>
</sst>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m\-yyyy"/>
    <numFmt numFmtId="165" formatCode="yyyy\-mm\-dd"/>
    <numFmt numFmtId="166" formatCode=";;;"/>
    <numFmt numFmtId="167" formatCode="[$-F800]dddd\,\ mmmm\ dd\,\ yyyy"/>
    <numFmt numFmtId="168" formatCode="mmm\ d"/>
    <numFmt numFmtId="169" formatCode="0.0%"/>
    <numFmt numFmtId="170" formatCode="mmmm\ d\,\ yyyy"/>
  </numFmts>
  <fonts count="47" x14ac:knownFonts="1">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1"/>
      <color rgb="FF7D0000"/>
      <name val="Calibri"/>
      <family val="2"/>
      <scheme val="minor"/>
    </font>
    <font>
      <sz val="11"/>
      <color theme="8" tint="-0.499984740745262"/>
      <name val="Calibri"/>
      <family val="2"/>
      <scheme val="minor"/>
    </font>
    <font>
      <b/>
      <sz val="11"/>
      <color theme="8" tint="-0.499984740745262"/>
      <name val="Calibri"/>
      <family val="2"/>
      <scheme val="minor"/>
    </font>
    <font>
      <sz val="11"/>
      <color theme="4" tint="-0.499984740745262"/>
      <name val="Calibri"/>
      <family val="2"/>
      <scheme val="minor"/>
    </font>
    <font>
      <i/>
      <sz val="11"/>
      <color theme="1"/>
      <name val="Calibri"/>
      <family val="2"/>
      <scheme val="minor"/>
    </font>
    <font>
      <sz val="11"/>
      <name val="Calibri"/>
      <family val="2"/>
      <scheme val="minor"/>
    </font>
    <font>
      <b/>
      <sz val="14"/>
      <color theme="3"/>
      <name val="Calibri"/>
      <family val="2"/>
      <scheme val="minor"/>
    </font>
    <font>
      <b/>
      <sz val="11"/>
      <color theme="5" tint="-0.249977111117893"/>
      <name val="Calibri"/>
      <family val="2"/>
      <scheme val="minor"/>
    </font>
    <font>
      <b/>
      <i/>
      <sz val="11"/>
      <color theme="9" tint="-0.499984740745262"/>
      <name val="Calibri"/>
      <family val="2"/>
      <scheme val="minor"/>
    </font>
    <font>
      <b/>
      <i/>
      <sz val="11"/>
      <color theme="4" tint="-0.249977111117893"/>
      <name val="Calibri"/>
      <family val="2"/>
      <scheme val="minor"/>
    </font>
    <font>
      <b/>
      <sz val="11"/>
      <color theme="9" tint="-0.499984740745262"/>
      <name val="Calibri"/>
      <family val="2"/>
      <scheme val="minor"/>
    </font>
    <font>
      <sz val="11"/>
      <color theme="4" tint="-0.249977111117893"/>
      <name val="Calibri"/>
      <family val="2"/>
      <scheme val="minor"/>
    </font>
    <font>
      <b/>
      <sz val="11"/>
      <color theme="4" tint="-0.249977111117893"/>
      <name val="Calibri"/>
      <family val="2"/>
      <scheme val="minor"/>
    </font>
    <font>
      <b/>
      <sz val="11"/>
      <color theme="0"/>
      <name val="Calibri"/>
      <family val="2"/>
      <scheme val="minor"/>
    </font>
    <font>
      <b/>
      <u/>
      <sz val="11"/>
      <color theme="1"/>
      <name val="Calibri"/>
      <family val="2"/>
      <scheme val="minor"/>
    </font>
    <font>
      <i/>
      <sz val="11"/>
      <color theme="3"/>
      <name val="Calibri"/>
      <family val="2"/>
      <scheme val="minor"/>
    </font>
    <font>
      <b/>
      <sz val="20"/>
      <color theme="3"/>
      <name val="Calibri"/>
      <family val="2"/>
      <scheme val="minor"/>
    </font>
    <font>
      <u/>
      <sz val="11"/>
      <color theme="10"/>
      <name val="Calibri"/>
      <family val="2"/>
      <scheme val="minor"/>
    </font>
    <font>
      <sz val="11"/>
      <color theme="3"/>
      <name val="Calibri"/>
      <family val="2"/>
      <scheme val="minor"/>
    </font>
    <font>
      <u/>
      <sz val="11"/>
      <color theme="3"/>
      <name val="Calibri"/>
      <family val="2"/>
      <scheme val="minor"/>
    </font>
    <font>
      <b/>
      <sz val="36"/>
      <color theme="5" tint="0.39997558519241921"/>
      <name val="Brush Script MT"/>
      <family val="4"/>
    </font>
    <font>
      <b/>
      <u/>
      <sz val="11"/>
      <color theme="3"/>
      <name val="Calibri"/>
      <family val="2"/>
      <scheme val="minor"/>
    </font>
    <font>
      <b/>
      <u/>
      <sz val="11"/>
      <color theme="0"/>
      <name val="Calibri"/>
      <family val="2"/>
      <scheme val="minor"/>
    </font>
    <font>
      <b/>
      <sz val="11"/>
      <color theme="2"/>
      <name val="Calibri"/>
      <family val="2"/>
      <scheme val="minor"/>
    </font>
    <font>
      <b/>
      <sz val="11"/>
      <color theme="5"/>
      <name val="Calibri"/>
      <family val="2"/>
      <scheme val="minor"/>
    </font>
    <font>
      <sz val="48"/>
      <color theme="5"/>
      <name val="Brush Script MT"/>
      <family val="4"/>
    </font>
    <font>
      <sz val="11"/>
      <color theme="1"/>
      <name val="Calibri"/>
      <family val="2"/>
      <scheme val="minor"/>
    </font>
    <font>
      <b/>
      <u/>
      <sz val="11"/>
      <color theme="2"/>
      <name val="Calibri"/>
      <family val="2"/>
      <scheme val="minor"/>
    </font>
    <font>
      <b/>
      <i/>
      <sz val="11"/>
      <color theme="3"/>
      <name val="Calibri"/>
      <family val="2"/>
      <scheme val="minor"/>
    </font>
    <font>
      <b/>
      <sz val="11"/>
      <color theme="5" tint="0.39997558519241921"/>
      <name val="Calibri"/>
      <family val="2"/>
      <scheme val="minor"/>
    </font>
    <font>
      <b/>
      <u/>
      <sz val="11"/>
      <color theme="5"/>
      <name val="Calibri"/>
      <family val="2"/>
      <scheme val="minor"/>
    </font>
    <font>
      <b/>
      <sz val="11"/>
      <color theme="4"/>
      <name val="Calibri"/>
      <family val="2"/>
      <scheme val="minor"/>
    </font>
    <font>
      <sz val="11"/>
      <color theme="3"/>
      <name val="Calibri"/>
      <family val="2"/>
      <scheme val="minor"/>
    </font>
    <font>
      <b/>
      <sz val="11"/>
      <color rgb="FFC03B00"/>
      <name val="Calibri"/>
      <family val="2"/>
      <scheme val="minor"/>
    </font>
    <font>
      <b/>
      <sz val="11"/>
      <color rgb="FF53284F"/>
      <name val="Calibri"/>
      <family val="2"/>
      <scheme val="minor"/>
    </font>
    <font>
      <i/>
      <u/>
      <sz val="11"/>
      <color theme="3"/>
      <name val="Calibri"/>
      <family val="2"/>
      <scheme val="minor"/>
    </font>
    <font>
      <i/>
      <sz val="9"/>
      <color theme="1"/>
      <name val="Calibri"/>
      <family val="2"/>
      <scheme val="minor"/>
    </font>
    <font>
      <sz val="11"/>
      <color theme="3"/>
      <name val="Calibri"/>
      <family val="2"/>
      <scheme val="minor"/>
    </font>
    <font>
      <sz val="11"/>
      <color rgb="FFFF0000"/>
      <name val="Calibri"/>
      <family val="2"/>
      <scheme val="minor"/>
    </font>
    <font>
      <strike/>
      <sz val="11"/>
      <color theme="3"/>
      <name val="Calibri"/>
      <family val="2"/>
      <scheme val="minor"/>
    </font>
    <font>
      <strike/>
      <sz val="11"/>
      <name val="Calibri"/>
      <family val="2"/>
      <scheme val="minor"/>
    </font>
    <font>
      <i/>
      <sz val="11"/>
      <name val="Calibri"/>
      <family val="2"/>
      <scheme val="minor"/>
    </font>
  </fonts>
  <fills count="25">
    <fill>
      <patternFill patternType="none"/>
    </fill>
    <fill>
      <patternFill patternType="gray125"/>
    </fill>
    <fill>
      <patternFill patternType="solid">
        <fgColor theme="5" tint="0.59999389629810485"/>
        <bgColor indexed="64"/>
      </patternFill>
    </fill>
    <fill>
      <patternFill patternType="solid">
        <fgColor theme="1"/>
        <bgColor indexed="64"/>
      </patternFill>
    </fill>
    <fill>
      <patternFill patternType="solid">
        <fgColor theme="0" tint="-0.499984740745262"/>
        <bgColor indexed="64"/>
      </patternFill>
    </fill>
    <fill>
      <gradientFill degree="270">
        <stop position="0">
          <color theme="0"/>
        </stop>
        <stop position="1">
          <color theme="4"/>
        </stop>
      </gradientFill>
    </fill>
    <fill>
      <gradientFill degree="270">
        <stop position="0">
          <color theme="0"/>
        </stop>
        <stop position="1">
          <color theme="8"/>
        </stop>
      </gradientFill>
    </fill>
    <fill>
      <patternFill patternType="solid">
        <fgColor rgb="FFFF0000"/>
        <bgColor indexed="64"/>
      </patternFill>
    </fill>
    <fill>
      <patternFill patternType="solid">
        <fgColor theme="5" tint="0.79998168889431442"/>
        <bgColor indexed="64"/>
      </patternFill>
    </fill>
    <fill>
      <patternFill patternType="solid">
        <fgColor rgb="FFFFC1E0"/>
        <bgColor indexed="64"/>
      </patternFill>
    </fill>
    <fill>
      <patternFill patternType="solid">
        <fgColor theme="3"/>
        <bgColor indexed="64"/>
      </patternFill>
    </fill>
    <fill>
      <patternFill patternType="solid">
        <fgColor theme="4"/>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bgColor theme="4"/>
      </patternFill>
    </fill>
    <fill>
      <patternFill patternType="solid">
        <fgColor theme="0"/>
        <bgColor theme="4" tint="0.79998168889431442"/>
      </patternFill>
    </fill>
    <fill>
      <patternFill patternType="solid">
        <fgColor theme="9"/>
        <bgColor indexed="64"/>
      </patternFill>
    </fill>
    <fill>
      <patternFill patternType="solid">
        <fgColor theme="1" tint="0.34998626667073579"/>
        <bgColor indexed="64"/>
      </patternFill>
    </fill>
    <fill>
      <patternFill patternType="solid">
        <fgColor theme="5"/>
        <bgColor indexed="64"/>
      </patternFill>
    </fill>
    <fill>
      <patternFill patternType="solid">
        <fgColor theme="5" tint="-0.499984740745262"/>
        <bgColor indexed="64"/>
      </patternFill>
    </fill>
    <fill>
      <gradientFill degree="270">
        <stop position="0">
          <color theme="0"/>
        </stop>
        <stop position="1">
          <color theme="5" tint="0.59999389629810485"/>
        </stop>
      </gradientFill>
    </fill>
    <fill>
      <gradientFill degree="270">
        <stop position="0">
          <color theme="0"/>
        </stop>
        <stop position="1">
          <color rgb="FFFF7F45"/>
        </stop>
      </gradientFill>
    </fill>
    <fill>
      <gradientFill degree="270">
        <stop position="0">
          <color theme="0"/>
        </stop>
        <stop position="1">
          <color rgb="FFAA77C7"/>
        </stop>
      </gradientFill>
    </fill>
    <fill>
      <patternFill patternType="solid">
        <fgColor theme="4" tint="0.79998168889431442"/>
        <bgColor theme="4" tint="0.79998168889431442"/>
      </patternFill>
    </fill>
  </fills>
  <borders count="33">
    <border>
      <left/>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right style="thin">
        <color theme="4" tint="-0.499984740745262"/>
      </right>
      <top style="thick">
        <color theme="4" tint="-0.499984740745262"/>
      </top>
      <bottom style="thick">
        <color theme="4" tint="-0.499984740745262"/>
      </bottom>
      <diagonal/>
    </border>
    <border>
      <left style="thin">
        <color theme="4" tint="-0.499984740745262"/>
      </left>
      <right style="thin">
        <color theme="4" tint="-0.499984740745262"/>
      </right>
      <top style="thick">
        <color theme="4" tint="-0.499984740745262"/>
      </top>
      <bottom style="thick">
        <color theme="4" tint="-0.499984740745262"/>
      </bottom>
      <diagonal/>
    </border>
    <border>
      <left/>
      <right style="thin">
        <color theme="4" tint="-0.499984740745262"/>
      </right>
      <top/>
      <bottom/>
      <diagonal/>
    </border>
    <border>
      <left style="thin">
        <color theme="4" tint="-0.499984740745262"/>
      </left>
      <right style="thin">
        <color theme="4" tint="-0.499984740745262"/>
      </right>
      <top/>
      <bottom/>
      <diagonal/>
    </border>
    <border>
      <left style="thin">
        <color theme="4" tint="-0.499984740745262"/>
      </left>
      <right style="thick">
        <color theme="4" tint="-0.499984740745262"/>
      </right>
      <top style="thick">
        <color theme="4" tint="-0.499984740745262"/>
      </top>
      <bottom style="thick">
        <color theme="4" tint="-0.499984740745262"/>
      </bottom>
      <diagonal/>
    </border>
    <border>
      <left style="thin">
        <color theme="4" tint="-0.499984740745262"/>
      </left>
      <right style="thick">
        <color theme="4" tint="-0.499984740745262"/>
      </right>
      <top/>
      <bottom/>
      <diagonal/>
    </border>
    <border>
      <left style="thick">
        <color theme="4" tint="-0.499984740745262"/>
      </left>
      <right style="thin">
        <color theme="4" tint="-0.499984740745262"/>
      </right>
      <top style="thick">
        <color theme="4" tint="-0.499984740745262"/>
      </top>
      <bottom style="thick">
        <color theme="4" tint="-0.499984740745262"/>
      </bottom>
      <diagonal/>
    </border>
    <border>
      <left style="thick">
        <color theme="4" tint="-0.499984740745262"/>
      </left>
      <right style="thin">
        <color theme="4" tint="-0.499984740745262"/>
      </right>
      <top/>
      <bottom/>
      <diagonal/>
    </border>
    <border>
      <left style="thick">
        <color theme="4" tint="-0.499984740745262"/>
      </left>
      <right style="thick">
        <color theme="4" tint="-0.499984740745262"/>
      </right>
      <top/>
      <bottom/>
      <diagonal/>
    </border>
    <border>
      <left style="thin">
        <color theme="4" tint="-0.499984740745262"/>
      </left>
      <right/>
      <top style="thick">
        <color theme="4" tint="-0.499984740745262"/>
      </top>
      <bottom style="thick">
        <color theme="4" tint="-0.499984740745262"/>
      </bottom>
      <diagonal/>
    </border>
    <border>
      <left style="thin">
        <color theme="4" tint="-0.499984740745262"/>
      </left>
      <right/>
      <top/>
      <bottom/>
      <diagonal/>
    </border>
    <border>
      <left style="thin">
        <color theme="4" tint="-0.24994659260841701"/>
      </left>
      <right style="hair">
        <color theme="4" tint="-0.24994659260841701"/>
      </right>
      <top/>
      <bottom/>
      <diagonal/>
    </border>
    <border>
      <left style="thin">
        <color theme="4" tint="-0.24994659260841701"/>
      </left>
      <right style="hair">
        <color theme="4" tint="-0.24994659260841701"/>
      </right>
      <top style="thin">
        <color theme="4" tint="-0.24994659260841701"/>
      </top>
      <bottom/>
      <diagonal/>
    </border>
    <border>
      <left/>
      <right/>
      <top/>
      <bottom style="thin">
        <color theme="4"/>
      </bottom>
      <diagonal/>
    </border>
    <border>
      <left/>
      <right/>
      <top style="thin">
        <color theme="4"/>
      </top>
      <bottom style="thin">
        <color theme="4"/>
      </bottom>
      <diagonal/>
    </border>
    <border>
      <left/>
      <right/>
      <top/>
      <bottom style="thick">
        <color theme="4" tint="-0.499984740745262"/>
      </bottom>
      <diagonal/>
    </border>
    <border>
      <left/>
      <right/>
      <top/>
      <bottom style="thin">
        <color theme="4" tint="0.39997558519241921"/>
      </bottom>
      <diagonal/>
    </border>
    <border>
      <left/>
      <right/>
      <top style="thin">
        <color theme="4" tint="0.39997558519241921"/>
      </top>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s>
  <cellStyleXfs count="3">
    <xf numFmtId="0" fontId="0" fillId="0" borderId="0"/>
    <xf numFmtId="0" fontId="22" fillId="0" borderId="0" applyNumberFormat="0" applyFill="0" applyBorder="0" applyAlignment="0" applyProtection="0"/>
    <xf numFmtId="9" fontId="31" fillId="0" borderId="0" applyFont="0" applyFill="0" applyBorder="0" applyAlignment="0" applyProtection="0"/>
  </cellStyleXfs>
  <cellXfs count="230">
    <xf numFmtId="0" fontId="0" fillId="0" borderId="0" xfId="0"/>
    <xf numFmtId="0" fontId="0" fillId="0" borderId="0" xfId="0" applyAlignment="1">
      <alignment wrapText="1"/>
    </xf>
    <xf numFmtId="0" fontId="0" fillId="0" borderId="0" xfId="0" applyProtection="1">
      <protection locked="0"/>
    </xf>
    <xf numFmtId="0" fontId="0" fillId="0" borderId="0" xfId="0"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6" xfId="0" applyFont="1" applyBorder="1" applyAlignment="1">
      <alignment horizontal="centerContinuous"/>
    </xf>
    <xf numFmtId="0" fontId="2" fillId="0" borderId="7" xfId="0" applyFont="1" applyBorder="1" applyAlignment="1">
      <alignment horizontal="centerContinuous"/>
    </xf>
    <xf numFmtId="0" fontId="0" fillId="0" borderId="8" xfId="0" applyBorder="1" applyAlignment="1">
      <alignment horizontal="left" wrapText="1"/>
    </xf>
    <xf numFmtId="0" fontId="0" fillId="0" borderId="10" xfId="0" applyBorder="1"/>
    <xf numFmtId="0" fontId="0" fillId="0" borderId="11" xfId="0" applyBorder="1" applyProtection="1">
      <protection locked="0"/>
    </xf>
    <xf numFmtId="164" fontId="0" fillId="0" borderId="11" xfId="0" applyNumberFormat="1" applyBorder="1" applyProtection="1">
      <protection locked="0"/>
    </xf>
    <xf numFmtId="0" fontId="0" fillId="0" borderId="13" xfId="0" applyBorder="1" applyProtection="1">
      <protection locked="0"/>
    </xf>
    <xf numFmtId="0" fontId="0" fillId="0" borderId="15" xfId="0" applyBorder="1" applyProtection="1">
      <protection locked="0"/>
    </xf>
    <xf numFmtId="0" fontId="0" fillId="0" borderId="10" xfId="0" applyBorder="1" applyProtection="1">
      <protection locked="0"/>
    </xf>
    <xf numFmtId="0" fontId="0" fillId="0" borderId="16" xfId="0" applyBorder="1" applyAlignment="1" applyProtection="1">
      <alignment horizontal="left"/>
      <protection locked="0"/>
    </xf>
    <xf numFmtId="0" fontId="0" fillId="0" borderId="16" xfId="0" applyBorder="1" applyProtection="1">
      <protection locked="0"/>
    </xf>
    <xf numFmtId="0" fontId="1" fillId="5" borderId="0" xfId="0" applyFont="1" applyFill="1" applyAlignment="1">
      <alignment horizontal="centerContinuous"/>
    </xf>
    <xf numFmtId="0" fontId="7" fillId="6" borderId="0" xfId="0" applyFont="1" applyFill="1" applyAlignment="1">
      <alignment horizontal="centerContinuous"/>
    </xf>
    <xf numFmtId="0" fontId="6" fillId="6" borderId="0" xfId="0" applyFont="1" applyFill="1" applyAlignment="1">
      <alignment horizontal="centerContinuous"/>
    </xf>
    <xf numFmtId="0" fontId="9" fillId="0" borderId="0" xfId="0" applyFont="1"/>
    <xf numFmtId="0" fontId="0" fillId="0" borderId="0" xfId="0" quotePrefix="1" applyAlignment="1">
      <alignment wrapText="1"/>
    </xf>
    <xf numFmtId="165" fontId="0" fillId="0" borderId="0" xfId="0" applyNumberFormat="1" applyProtection="1">
      <protection locked="0"/>
    </xf>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xf numFmtId="0" fontId="5" fillId="2" borderId="0" xfId="0" applyFont="1" applyFill="1" applyAlignment="1">
      <alignment vertical="top"/>
    </xf>
    <xf numFmtId="0" fontId="3" fillId="3" borderId="0" xfId="0" applyFont="1" applyFill="1" applyAlignment="1">
      <alignment vertical="top"/>
    </xf>
    <xf numFmtId="0" fontId="0" fillId="4" borderId="0" xfId="0" applyFill="1" applyAlignment="1">
      <alignment vertical="top"/>
    </xf>
    <xf numFmtId="0" fontId="0" fillId="0" borderId="0" xfId="0" applyAlignment="1">
      <alignment horizontal="center" vertical="top"/>
    </xf>
    <xf numFmtId="0" fontId="0" fillId="2" borderId="0" xfId="0" applyFill="1" applyAlignment="1">
      <alignment horizontal="center" vertical="top"/>
    </xf>
    <xf numFmtId="0" fontId="3" fillId="3" borderId="0" xfId="0" applyFont="1" applyFill="1" applyAlignment="1">
      <alignment horizontal="center" vertical="top"/>
    </xf>
    <xf numFmtId="0" fontId="0" fillId="4" borderId="0" xfId="0" applyFill="1" applyAlignment="1">
      <alignment horizontal="center" vertical="top"/>
    </xf>
    <xf numFmtId="0" fontId="2" fillId="7" borderId="0" xfId="0" applyFont="1" applyFill="1" applyAlignment="1">
      <alignment vertical="top"/>
    </xf>
    <xf numFmtId="0" fontId="0" fillId="7" borderId="0" xfId="0" applyFill="1" applyAlignment="1">
      <alignment horizontal="center" vertical="top"/>
    </xf>
    <xf numFmtId="0" fontId="0" fillId="8" borderId="0" xfId="0" applyFill="1" applyAlignment="1">
      <alignment vertical="top"/>
    </xf>
    <xf numFmtId="0" fontId="0" fillId="9" borderId="0" xfId="0" applyFill="1" applyAlignment="1">
      <alignment horizontal="center" vertical="top"/>
    </xf>
    <xf numFmtId="0" fontId="0" fillId="10" borderId="0" xfId="0" applyFill="1" applyAlignment="1">
      <alignment horizontal="centerContinuous"/>
    </xf>
    <xf numFmtId="0" fontId="3" fillId="10" borderId="0" xfId="0" applyFont="1" applyFill="1" applyAlignment="1">
      <alignment horizontal="centerContinuous"/>
    </xf>
    <xf numFmtId="0" fontId="3" fillId="10" borderId="0" xfId="0" applyFont="1" applyFill="1"/>
    <xf numFmtId="0" fontId="3" fillId="11" borderId="0" xfId="0" applyFont="1" applyFill="1"/>
    <xf numFmtId="0" fontId="10" fillId="0" borderId="0" xfId="0" applyFont="1" applyAlignment="1">
      <alignment horizontal="left" wrapText="1"/>
    </xf>
    <xf numFmtId="0" fontId="0" fillId="0" borderId="0" xfId="0" applyAlignment="1">
      <alignment horizontal="right"/>
    </xf>
    <xf numFmtId="0" fontId="0" fillId="0" borderId="0" xfId="0" applyAlignment="1">
      <alignment horizontal="centerContinuous" wrapText="1"/>
    </xf>
    <xf numFmtId="0" fontId="11" fillId="0" borderId="0" xfId="0" applyFont="1" applyAlignment="1">
      <alignment horizontal="centerContinuous" wrapText="1"/>
    </xf>
    <xf numFmtId="0" fontId="12" fillId="0" borderId="0" xfId="0" applyFont="1" applyAlignment="1">
      <alignment horizontal="left"/>
    </xf>
    <xf numFmtId="0" fontId="12" fillId="0" borderId="0" xfId="0" applyFont="1" applyAlignment="1">
      <alignment horizontal="right" wrapText="1"/>
    </xf>
    <xf numFmtId="0" fontId="13" fillId="0" borderId="0" xfId="0" applyFont="1" applyAlignment="1">
      <alignment horizontal="left" indent="1"/>
    </xf>
    <xf numFmtId="0" fontId="14" fillId="0" borderId="0" xfId="0" applyFont="1" applyAlignment="1">
      <alignment horizontal="left" indent="1"/>
    </xf>
    <xf numFmtId="0" fontId="16" fillId="0" borderId="0" xfId="0" applyFont="1"/>
    <xf numFmtId="0" fontId="11" fillId="0" borderId="0" xfId="0" applyFont="1" applyAlignment="1">
      <alignment horizontal="left" wrapText="1"/>
    </xf>
    <xf numFmtId="0" fontId="16" fillId="0" borderId="0" xfId="0" applyFont="1" applyAlignment="1">
      <alignment horizontal="left" indent="2"/>
    </xf>
    <xf numFmtId="0" fontId="16" fillId="0" borderId="0" xfId="0" applyFont="1" applyAlignment="1">
      <alignment horizontal="centerContinuous"/>
    </xf>
    <xf numFmtId="0" fontId="0" fillId="0" borderId="20" xfId="0" applyBorder="1"/>
    <xf numFmtId="166" fontId="0" fillId="0" borderId="19" xfId="0" applyNumberFormat="1" applyBorder="1"/>
    <xf numFmtId="0" fontId="18" fillId="10" borderId="0" xfId="0" applyFont="1" applyFill="1" applyAlignment="1">
      <alignment horizontal="centerContinuous"/>
    </xf>
    <xf numFmtId="0" fontId="19" fillId="12" borderId="0" xfId="0" applyFont="1" applyFill="1" applyAlignment="1">
      <alignment horizontal="centerContinuous" vertical="distributed"/>
    </xf>
    <xf numFmtId="0" fontId="2" fillId="12" borderId="0" xfId="0" applyFont="1" applyFill="1" applyAlignment="1">
      <alignment horizontal="centerContinuous" vertical="distributed"/>
    </xf>
    <xf numFmtId="0" fontId="2" fillId="12" borderId="0" xfId="0" applyFont="1" applyFill="1" applyAlignment="1">
      <alignment vertical="distributed"/>
    </xf>
    <xf numFmtId="0" fontId="2" fillId="13" borderId="0" xfId="0" applyFont="1" applyFill="1" applyAlignment="1">
      <alignment horizontal="centerContinuous"/>
    </xf>
    <xf numFmtId="0" fontId="19" fillId="13" borderId="0" xfId="0" applyFont="1" applyFill="1" applyAlignment="1">
      <alignment horizontal="centerContinuous"/>
    </xf>
    <xf numFmtId="0" fontId="2" fillId="8" borderId="0" xfId="0" applyFont="1" applyFill="1" applyAlignment="1">
      <alignment horizontal="centerContinuous"/>
    </xf>
    <xf numFmtId="0" fontId="19" fillId="8" borderId="0" xfId="0" applyFont="1" applyFill="1" applyAlignment="1">
      <alignment horizontal="centerContinuous"/>
    </xf>
    <xf numFmtId="0" fontId="2" fillId="0" borderId="21" xfId="0" applyFont="1" applyBorder="1"/>
    <xf numFmtId="0" fontId="2" fillId="12" borderId="21" xfId="0" applyFont="1" applyFill="1" applyBorder="1" applyAlignment="1">
      <alignment horizontal="center"/>
    </xf>
    <xf numFmtId="0" fontId="2" fillId="13" borderId="21" xfId="0" applyFont="1" applyFill="1" applyBorder="1" applyAlignment="1">
      <alignment horizontal="center"/>
    </xf>
    <xf numFmtId="0" fontId="2" fillId="8" borderId="21" xfId="0" applyFont="1" applyFill="1" applyBorder="1" applyAlignment="1">
      <alignment horizontal="center"/>
    </xf>
    <xf numFmtId="0" fontId="0" fillId="0" borderId="22" xfId="0" applyBorder="1"/>
    <xf numFmtId="0" fontId="0" fillId="12" borderId="22" xfId="0" applyFill="1" applyBorder="1"/>
    <xf numFmtId="1" fontId="0" fillId="13" borderId="22" xfId="0" applyNumberFormat="1" applyFill="1" applyBorder="1"/>
    <xf numFmtId="0" fontId="0" fillId="0" borderId="23" xfId="0" applyBorder="1" applyAlignment="1">
      <alignment horizontal="left" wrapText="1"/>
    </xf>
    <xf numFmtId="0" fontId="0" fillId="14" borderId="0" xfId="0" applyFill="1"/>
    <xf numFmtId="0" fontId="0" fillId="14" borderId="0" xfId="0" applyFill="1" applyAlignment="1">
      <alignment horizontal="left"/>
    </xf>
    <xf numFmtId="0" fontId="2" fillId="14" borderId="0" xfId="0" applyFont="1" applyFill="1" applyAlignment="1">
      <alignment horizontal="center"/>
    </xf>
    <xf numFmtId="0" fontId="1" fillId="0" borderId="0" xfId="0" applyFont="1"/>
    <xf numFmtId="0" fontId="2" fillId="0" borderId="0" xfId="0" applyFont="1" applyAlignment="1">
      <alignment horizontal="center"/>
    </xf>
    <xf numFmtId="167" fontId="0" fillId="0" borderId="0" xfId="0" applyNumberFormat="1"/>
    <xf numFmtId="0" fontId="20" fillId="0" borderId="0" xfId="0" applyFont="1" applyAlignment="1">
      <alignment horizontal="right" wrapText="1"/>
    </xf>
    <xf numFmtId="0" fontId="21" fillId="0" borderId="0" xfId="0" applyFont="1"/>
    <xf numFmtId="0" fontId="11" fillId="0" borderId="0" xfId="0" applyFont="1" applyAlignment="1">
      <alignment wrapText="1"/>
    </xf>
    <xf numFmtId="0" fontId="23" fillId="0" borderId="0" xfId="0" applyFont="1"/>
    <xf numFmtId="0" fontId="3" fillId="0" borderId="0" xfId="0" applyFont="1" applyAlignment="1">
      <alignment wrapText="1"/>
    </xf>
    <xf numFmtId="0" fontId="3" fillId="0" borderId="0" xfId="0" applyFont="1"/>
    <xf numFmtId="0" fontId="23" fillId="0" borderId="0" xfId="0" applyFont="1" applyAlignment="1">
      <alignment vertical="top" wrapText="1"/>
    </xf>
    <xf numFmtId="0" fontId="23" fillId="0" borderId="0" xfId="0" applyFont="1" applyProtection="1">
      <protection locked="0"/>
    </xf>
    <xf numFmtId="0" fontId="23" fillId="0" borderId="0" xfId="0" applyFont="1" applyAlignment="1" applyProtection="1">
      <alignment horizontal="left" vertical="top" wrapText="1"/>
      <protection locked="0"/>
    </xf>
    <xf numFmtId="0" fontId="23" fillId="0" borderId="0" xfId="0" applyFont="1" applyAlignment="1">
      <alignment wrapText="1"/>
    </xf>
    <xf numFmtId="0" fontId="23" fillId="0" borderId="0" xfId="0" applyFont="1" applyAlignment="1">
      <alignment horizontal="left" vertical="top" wrapText="1"/>
    </xf>
    <xf numFmtId="0" fontId="23" fillId="0" borderId="0" xfId="1" applyFont="1" applyFill="1" applyAlignment="1" applyProtection="1">
      <alignment vertical="top" wrapText="1"/>
    </xf>
    <xf numFmtId="0" fontId="18" fillId="0" borderId="24" xfId="0" applyFont="1" applyBorder="1" applyAlignment="1">
      <alignment wrapText="1"/>
    </xf>
    <xf numFmtId="0" fontId="18" fillId="0" borderId="24" xfId="0" applyFont="1" applyBorder="1"/>
    <xf numFmtId="0" fontId="23" fillId="0" borderId="25" xfId="0" applyFont="1" applyBorder="1" applyAlignment="1">
      <alignment horizontal="left" vertical="top" wrapText="1"/>
    </xf>
    <xf numFmtId="0" fontId="23" fillId="0" borderId="25" xfId="0" applyFont="1" applyBorder="1" applyProtection="1">
      <protection locked="0"/>
    </xf>
    <xf numFmtId="0" fontId="23" fillId="0" borderId="25" xfId="0" applyFont="1" applyBorder="1" applyAlignment="1" applyProtection="1">
      <alignment horizontal="left" vertical="top" wrapText="1"/>
      <protection locked="0"/>
    </xf>
    <xf numFmtId="0" fontId="18" fillId="15" borderId="24" xfId="0" applyFont="1" applyFill="1" applyBorder="1" applyAlignment="1">
      <alignment wrapText="1"/>
    </xf>
    <xf numFmtId="0" fontId="18" fillId="15" borderId="24" xfId="0" applyFont="1" applyFill="1" applyBorder="1"/>
    <xf numFmtId="0" fontId="23" fillId="0" borderId="25" xfId="0" applyFont="1" applyBorder="1" applyAlignment="1">
      <alignment vertical="top" wrapText="1"/>
    </xf>
    <xf numFmtId="0" fontId="18" fillId="0" borderId="0" xfId="0" applyFont="1" applyAlignment="1">
      <alignment wrapText="1"/>
    </xf>
    <xf numFmtId="0" fontId="18" fillId="0" borderId="0" xfId="0" applyFont="1"/>
    <xf numFmtId="0" fontId="23" fillId="0" borderId="25" xfId="0" applyFont="1" applyBorder="1"/>
    <xf numFmtId="0" fontId="0" fillId="0" borderId="0" xfId="0" applyAlignment="1">
      <alignment horizontal="center"/>
    </xf>
    <xf numFmtId="0" fontId="25" fillId="0" borderId="0" xfId="0" applyFont="1" applyAlignment="1">
      <alignment horizontal="center" vertical="top" wrapText="1"/>
    </xf>
    <xf numFmtId="0" fontId="26" fillId="0" borderId="0" xfId="0" applyFont="1"/>
    <xf numFmtId="0" fontId="1" fillId="0" borderId="0" xfId="0" applyFont="1" applyAlignment="1">
      <alignment horizontal="center" vertical="top" wrapText="1"/>
    </xf>
    <xf numFmtId="168" fontId="0" fillId="0" borderId="0" xfId="0" applyNumberFormat="1"/>
    <xf numFmtId="0" fontId="23" fillId="0" borderId="0" xfId="0" applyFont="1" applyAlignment="1">
      <alignment horizontal="right"/>
    </xf>
    <xf numFmtId="0" fontId="1" fillId="0" borderId="0" xfId="0" applyFont="1" applyAlignment="1">
      <alignment horizontal="right"/>
    </xf>
    <xf numFmtId="0" fontId="24" fillId="0" borderId="0" xfId="0" applyFont="1"/>
    <xf numFmtId="0" fontId="0" fillId="0" borderId="0" xfId="0" applyAlignment="1" applyProtection="1">
      <alignment wrapText="1"/>
      <protection locked="0"/>
    </xf>
    <xf numFmtId="0" fontId="26" fillId="0" borderId="0" xfId="0" applyFont="1" applyAlignment="1">
      <alignment horizontal="right"/>
    </xf>
    <xf numFmtId="0" fontId="20" fillId="0" borderId="0" xfId="0" applyFont="1" applyAlignment="1">
      <alignment horizontal="right" vertical="top" wrapText="1"/>
    </xf>
    <xf numFmtId="0" fontId="15" fillId="0" borderId="0" xfId="0" applyFont="1" applyAlignment="1">
      <alignment horizontal="right"/>
    </xf>
    <xf numFmtId="0" fontId="17" fillId="0" borderId="0" xfId="0" applyFont="1" applyAlignment="1">
      <alignment horizontal="right"/>
    </xf>
    <xf numFmtId="0" fontId="16" fillId="0" borderId="0" xfId="0" applyFont="1" applyAlignment="1">
      <alignment horizontal="right"/>
    </xf>
    <xf numFmtId="0" fontId="23" fillId="0" borderId="0" xfId="0" applyFont="1" applyAlignment="1">
      <alignment horizontal="centerContinuous"/>
    </xf>
    <xf numFmtId="0" fontId="21" fillId="0" borderId="0" xfId="0" applyFont="1" applyAlignment="1">
      <alignment horizontal="centerContinuous"/>
    </xf>
    <xf numFmtId="0" fontId="1" fillId="0" borderId="0" xfId="0" applyFont="1" applyAlignment="1">
      <alignment horizontal="centerContinuous"/>
    </xf>
    <xf numFmtId="0" fontId="26" fillId="17" borderId="0" xfId="1" applyFont="1" applyFill="1" applyAlignment="1">
      <alignment horizontal="center"/>
    </xf>
    <xf numFmtId="0" fontId="23" fillId="0" borderId="0" xfId="0" applyFont="1" applyAlignment="1">
      <alignment vertical="distributed" wrapText="1"/>
    </xf>
    <xf numFmtId="0" fontId="0" fillId="0" borderId="0" xfId="0" applyAlignment="1">
      <alignment vertical="distributed"/>
    </xf>
    <xf numFmtId="0" fontId="28" fillId="18" borderId="0" xfId="0" applyFont="1" applyFill="1" applyAlignment="1">
      <alignment horizontal="centerContinuous"/>
    </xf>
    <xf numFmtId="0" fontId="23" fillId="0" borderId="0" xfId="0" applyFont="1" applyAlignment="1">
      <alignment horizontal="left"/>
    </xf>
    <xf numFmtId="0" fontId="29" fillId="0" borderId="0" xfId="0" applyFont="1" applyAlignment="1">
      <alignment horizontal="center"/>
    </xf>
    <xf numFmtId="1" fontId="30" fillId="0" borderId="0" xfId="0" applyNumberFormat="1" applyFont="1" applyAlignment="1">
      <alignment horizontal="center"/>
    </xf>
    <xf numFmtId="0" fontId="25" fillId="0" borderId="0" xfId="0" applyFont="1" applyAlignment="1">
      <alignment vertical="top" wrapText="1"/>
    </xf>
    <xf numFmtId="1" fontId="23" fillId="0" borderId="0" xfId="0" applyNumberFormat="1" applyFont="1" applyAlignment="1">
      <alignment horizontal="center"/>
    </xf>
    <xf numFmtId="0" fontId="23" fillId="0" borderId="0" xfId="0" applyFont="1" applyAlignment="1">
      <alignment horizontal="center"/>
    </xf>
    <xf numFmtId="0" fontId="23" fillId="0" borderId="0" xfId="0" applyFont="1" applyAlignment="1">
      <alignment vertical="distributed"/>
    </xf>
    <xf numFmtId="0" fontId="27" fillId="18" borderId="0" xfId="0" applyFont="1" applyFill="1" applyAlignment="1">
      <alignment horizontal="center" vertical="distributed"/>
    </xf>
    <xf numFmtId="0" fontId="27" fillId="10" borderId="0" xfId="0" applyFont="1" applyFill="1" applyAlignment="1">
      <alignment horizontal="center" vertical="distributed"/>
    </xf>
    <xf numFmtId="0" fontId="27" fillId="10" borderId="0" xfId="1" applyFont="1" applyFill="1" applyAlignment="1">
      <alignment horizontal="center"/>
    </xf>
    <xf numFmtId="0" fontId="27" fillId="20" borderId="0" xfId="0" applyFont="1" applyFill="1" applyAlignment="1">
      <alignment horizontal="center"/>
    </xf>
    <xf numFmtId="0" fontId="18" fillId="19" borderId="0" xfId="0" applyFont="1" applyFill="1" applyAlignment="1">
      <alignment horizontal="center" vertical="top"/>
    </xf>
    <xf numFmtId="0" fontId="18" fillId="19" borderId="0" xfId="0" applyFont="1" applyFill="1" applyAlignment="1">
      <alignment vertical="top"/>
    </xf>
    <xf numFmtId="1" fontId="0" fillId="0" borderId="0" xfId="0" applyNumberFormat="1" applyProtection="1">
      <protection locked="0"/>
    </xf>
    <xf numFmtId="164" fontId="0" fillId="0" borderId="15" xfId="0" applyNumberFormat="1" applyBorder="1" applyProtection="1">
      <protection locked="0"/>
    </xf>
    <xf numFmtId="164" fontId="0" fillId="0" borderId="13" xfId="0" applyNumberFormat="1" applyBorder="1" applyProtection="1">
      <protection locked="0"/>
    </xf>
    <xf numFmtId="164" fontId="0" fillId="0" borderId="0" xfId="0" applyNumberFormat="1" applyProtection="1">
      <protection locked="0"/>
    </xf>
    <xf numFmtId="164" fontId="0" fillId="0" borderId="16" xfId="0" applyNumberFormat="1" applyBorder="1" applyProtection="1">
      <protection locked="0"/>
    </xf>
    <xf numFmtId="169" fontId="0" fillId="0" borderId="0" xfId="2" applyNumberFormat="1" applyFont="1" applyBorder="1"/>
    <xf numFmtId="0" fontId="3" fillId="0" borderId="0" xfId="0" applyFont="1" applyAlignment="1">
      <alignment horizontal="centerContinuous" vertical="top" wrapText="1"/>
    </xf>
    <xf numFmtId="0" fontId="21" fillId="0" borderId="0" xfId="0" applyFont="1" applyAlignment="1">
      <alignment horizontal="left"/>
    </xf>
    <xf numFmtId="0" fontId="10" fillId="0" borderId="0" xfId="0" applyFont="1" applyAlignment="1">
      <alignment horizontal="centerContinuous"/>
    </xf>
    <xf numFmtId="0" fontId="10" fillId="0" borderId="0" xfId="0" applyFont="1"/>
    <xf numFmtId="0" fontId="33" fillId="0" borderId="0" xfId="0" applyFont="1" applyAlignment="1">
      <alignment horizontal="right"/>
    </xf>
    <xf numFmtId="0" fontId="1" fillId="0" borderId="0" xfId="0" applyFont="1" applyAlignment="1">
      <alignment horizontal="left"/>
    </xf>
    <xf numFmtId="0" fontId="0" fillId="13" borderId="0" xfId="0" applyFill="1" applyAlignment="1">
      <alignment horizontal="center" vertical="top"/>
    </xf>
    <xf numFmtId="0" fontId="3" fillId="0" borderId="0" xfId="0" applyFont="1" applyAlignment="1">
      <alignment horizontal="center" vertical="top"/>
    </xf>
    <xf numFmtId="0" fontId="18" fillId="0" borderId="0" xfId="0" applyFont="1" applyAlignment="1">
      <alignment horizontal="center" vertical="top"/>
    </xf>
    <xf numFmtId="0" fontId="0" fillId="14" borderId="0" xfId="0" applyFill="1" applyAlignment="1">
      <alignment horizontal="center" vertical="top"/>
    </xf>
    <xf numFmtId="0" fontId="10" fillId="0" borderId="0" xfId="0" applyFont="1" applyAlignment="1">
      <alignment horizontal="center" vertical="top"/>
    </xf>
    <xf numFmtId="0" fontId="0" fillId="0" borderId="0" xfId="0" applyAlignment="1">
      <alignment horizontal="center" vertical="top" wrapText="1"/>
    </xf>
    <xf numFmtId="0" fontId="0" fillId="0" borderId="0" xfId="0" applyAlignment="1">
      <alignment horizontal="left" vertical="top"/>
    </xf>
    <xf numFmtId="0" fontId="32" fillId="18" borderId="0" xfId="0" applyFont="1" applyFill="1" applyAlignment="1">
      <alignment horizontal="centerContinuous"/>
    </xf>
    <xf numFmtId="0" fontId="35" fillId="0" borderId="0" xfId="0" applyFont="1"/>
    <xf numFmtId="0" fontId="0" fillId="0" borderId="26" xfId="0" applyBorder="1" applyAlignment="1">
      <alignment wrapText="1"/>
    </xf>
    <xf numFmtId="0" fontId="27" fillId="10" borderId="26" xfId="0" applyFont="1" applyFill="1" applyBorder="1" applyAlignment="1">
      <alignment wrapText="1"/>
    </xf>
    <xf numFmtId="0" fontId="18" fillId="10" borderId="26" xfId="0" applyFont="1" applyFill="1" applyBorder="1" applyAlignment="1">
      <alignment horizontal="centerContinuous" wrapText="1"/>
    </xf>
    <xf numFmtId="0" fontId="3" fillId="10" borderId="26" xfId="0" applyFont="1" applyFill="1" applyBorder="1" applyAlignment="1">
      <alignment horizontal="centerContinuous" wrapText="1"/>
    </xf>
    <xf numFmtId="0" fontId="0" fillId="10" borderId="26" xfId="0" applyFill="1" applyBorder="1" applyAlignment="1">
      <alignment wrapText="1"/>
    </xf>
    <xf numFmtId="0" fontId="0" fillId="0" borderId="28" xfId="0" applyBorder="1" applyAlignment="1">
      <alignment wrapText="1"/>
    </xf>
    <xf numFmtId="0" fontId="0" fillId="10" borderId="28" xfId="0" applyFill="1" applyBorder="1" applyAlignment="1">
      <alignment wrapText="1"/>
    </xf>
    <xf numFmtId="0" fontId="0" fillId="0" borderId="29" xfId="0" applyBorder="1" applyAlignment="1">
      <alignment wrapText="1"/>
    </xf>
    <xf numFmtId="0" fontId="0" fillId="0" borderId="30" xfId="0" applyBorder="1" applyAlignment="1">
      <alignment wrapText="1"/>
    </xf>
    <xf numFmtId="0" fontId="22" fillId="0" borderId="25" xfId="1" applyBorder="1" applyAlignment="1">
      <alignment horizontal="left" vertical="top" wrapText="1"/>
    </xf>
    <xf numFmtId="0" fontId="37" fillId="0" borderId="25" xfId="0" applyFont="1" applyBorder="1" applyProtection="1">
      <protection locked="0"/>
    </xf>
    <xf numFmtId="0" fontId="37" fillId="0" borderId="25" xfId="0" applyFont="1" applyBorder="1" applyAlignment="1" applyProtection="1">
      <alignment horizontal="left" vertical="top" wrapText="1"/>
      <protection locked="0"/>
    </xf>
    <xf numFmtId="0" fontId="23" fillId="0" borderId="0" xfId="0" applyFont="1" applyAlignment="1">
      <alignment vertical="center" wrapText="1"/>
    </xf>
    <xf numFmtId="0" fontId="22" fillId="0" borderId="0" xfId="1" applyAlignment="1">
      <alignment horizontal="left" vertical="top" wrapText="1"/>
    </xf>
    <xf numFmtId="0" fontId="37" fillId="0" borderId="0" xfId="0" applyFont="1" applyProtection="1">
      <protection locked="0"/>
    </xf>
    <xf numFmtId="0" fontId="37" fillId="0" borderId="0" xfId="0" applyFont="1" applyAlignment="1" applyProtection="1">
      <alignment horizontal="left" vertical="top" wrapText="1"/>
      <protection locked="0"/>
    </xf>
    <xf numFmtId="0" fontId="18" fillId="20" borderId="0" xfId="0" applyFont="1" applyFill="1" applyAlignment="1">
      <alignment horizontal="left" vertical="top" wrapText="1" shrinkToFit="1"/>
    </xf>
    <xf numFmtId="170" fontId="0" fillId="0" borderId="0" xfId="0" applyNumberFormat="1" applyProtection="1">
      <protection locked="0"/>
    </xf>
    <xf numFmtId="0" fontId="0" fillId="0" borderId="13" xfId="0" applyBorder="1" applyAlignment="1" applyProtection="1">
      <alignment horizontal="left"/>
      <protection locked="0"/>
    </xf>
    <xf numFmtId="169" fontId="0" fillId="8" borderId="22" xfId="2" applyNumberFormat="1" applyFont="1" applyFill="1" applyBorder="1" applyAlignment="1">
      <alignment horizontal="right"/>
    </xf>
    <xf numFmtId="0" fontId="22" fillId="16" borderId="0" xfId="1" applyFill="1" applyBorder="1" applyAlignment="1">
      <alignment horizontal="left" vertical="top" wrapText="1"/>
    </xf>
    <xf numFmtId="0" fontId="3" fillId="0" borderId="0" xfId="0" applyFont="1" applyAlignment="1">
      <alignment horizontal="left" vertical="top" wrapText="1"/>
    </xf>
    <xf numFmtId="0" fontId="29" fillId="0" borderId="32" xfId="1" applyFont="1" applyFill="1" applyBorder="1" applyAlignment="1" applyProtection="1">
      <alignment horizontal="left" vertical="top" wrapText="1"/>
      <protection locked="0"/>
    </xf>
    <xf numFmtId="167" fontId="36" fillId="0" borderId="0" xfId="0" applyNumberFormat="1" applyFont="1"/>
    <xf numFmtId="0" fontId="0" fillId="0" borderId="18" xfId="0" applyBorder="1" applyAlignment="1" applyProtection="1">
      <alignment horizontal="left"/>
      <protection locked="0"/>
    </xf>
    <xf numFmtId="0" fontId="7" fillId="21" borderId="0" xfId="0" applyFont="1" applyFill="1" applyAlignment="1">
      <alignment horizontal="centerContinuous"/>
    </xf>
    <xf numFmtId="0" fontId="38" fillId="22" borderId="0" xfId="0" applyFont="1" applyFill="1" applyAlignment="1">
      <alignment horizontal="centerContinuous"/>
    </xf>
    <xf numFmtId="0" fontId="39" fillId="23" borderId="0" xfId="0" applyFont="1" applyFill="1" applyAlignment="1">
      <alignment horizontal="centerContinuous"/>
    </xf>
    <xf numFmtId="0" fontId="8" fillId="23" borderId="0" xfId="0" applyFont="1" applyFill="1" applyAlignment="1">
      <alignment horizontal="centerContinuous"/>
    </xf>
    <xf numFmtId="0" fontId="0" fillId="23" borderId="0" xfId="0" applyFill="1" applyAlignment="1">
      <alignment horizontal="centerContinuous"/>
    </xf>
    <xf numFmtId="0" fontId="0" fillId="0" borderId="0" xfId="0" applyAlignment="1">
      <alignment horizontal="left" vertical="top" wrapText="1"/>
    </xf>
    <xf numFmtId="0" fontId="3" fillId="0" borderId="0" xfId="0" applyFont="1" applyAlignment="1">
      <alignment horizontal="left" wrapText="1"/>
    </xf>
    <xf numFmtId="0" fontId="10" fillId="0" borderId="26" xfId="0" applyFont="1" applyBorder="1" applyAlignment="1">
      <alignment wrapText="1"/>
    </xf>
    <xf numFmtId="0" fontId="27" fillId="10" borderId="0" xfId="0" applyFont="1" applyFill="1" applyAlignment="1">
      <alignment wrapText="1"/>
    </xf>
    <xf numFmtId="0" fontId="41" fillId="0" borderId="0" xfId="0" applyFont="1" applyAlignment="1">
      <alignment horizontal="center"/>
    </xf>
    <xf numFmtId="0" fontId="0" fillId="0" borderId="0" xfId="0" applyAlignment="1" applyProtection="1">
      <alignment horizontal="left"/>
      <protection locked="0"/>
    </xf>
    <xf numFmtId="0" fontId="10" fillId="10" borderId="26" xfId="0" applyFont="1" applyFill="1" applyBorder="1" applyAlignment="1">
      <alignment horizontal="centerContinuous" wrapText="1"/>
    </xf>
    <xf numFmtId="0" fontId="10" fillId="0" borderId="26" xfId="0" applyFont="1" applyBorder="1" applyAlignment="1" applyProtection="1">
      <alignment horizontal="centerContinuous" wrapText="1"/>
      <protection locked="0"/>
    </xf>
    <xf numFmtId="0" fontId="10" fillId="0" borderId="26" xfId="0" applyFont="1" applyBorder="1" applyAlignment="1" applyProtection="1">
      <alignment horizontal="left" wrapText="1"/>
      <protection locked="0"/>
    </xf>
    <xf numFmtId="0" fontId="0" fillId="0" borderId="26"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Alignment="1">
      <alignment horizontal="right"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 xfId="0" applyBorder="1" applyAlignment="1">
      <alignment horizontal="left" vertical="top" textRotation="90"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14" xfId="0" applyBorder="1" applyAlignment="1">
      <alignment horizontal="left" vertical="top" textRotation="90" wrapText="1"/>
    </xf>
    <xf numFmtId="0" fontId="0" fillId="0" borderId="9" xfId="0" applyBorder="1" applyAlignment="1">
      <alignment horizontal="left" vertical="top" textRotation="90" wrapText="1"/>
    </xf>
    <xf numFmtId="0" fontId="0" fillId="0" borderId="12" xfId="0" applyBorder="1" applyAlignment="1">
      <alignment horizontal="left" vertical="top" textRotation="90" wrapText="1"/>
    </xf>
    <xf numFmtId="0" fontId="0" fillId="0" borderId="17" xfId="0" applyBorder="1" applyAlignment="1">
      <alignment horizontal="left" vertical="top" wrapText="1"/>
    </xf>
    <xf numFmtId="0" fontId="42" fillId="0" borderId="0" xfId="0" applyFont="1" applyProtection="1">
      <protection locked="0"/>
    </xf>
    <xf numFmtId="0" fontId="42" fillId="0" borderId="0" xfId="0" applyFont="1" applyAlignment="1" applyProtection="1">
      <alignment horizontal="left" vertical="top" wrapText="1"/>
      <protection locked="0"/>
    </xf>
    <xf numFmtId="0" fontId="42" fillId="0" borderId="25" xfId="0" applyFont="1" applyBorder="1" applyProtection="1">
      <protection locked="0"/>
    </xf>
    <xf numFmtId="0" fontId="42" fillId="0" borderId="25" xfId="0" applyFont="1" applyBorder="1" applyAlignment="1" applyProtection="1">
      <alignment horizontal="left" vertical="top" wrapText="1"/>
      <protection locked="0"/>
    </xf>
    <xf numFmtId="0" fontId="22" fillId="0" borderId="0" xfId="1" applyAlignment="1">
      <alignment vertical="top" wrapText="1"/>
    </xf>
    <xf numFmtId="0" fontId="23" fillId="24" borderId="25" xfId="0" applyFont="1" applyFill="1" applyBorder="1"/>
    <xf numFmtId="0" fontId="23" fillId="24" borderId="25" xfId="0" applyFont="1" applyFill="1" applyBorder="1" applyAlignment="1">
      <alignment horizontal="left" vertical="top" wrapText="1"/>
    </xf>
    <xf numFmtId="0" fontId="22" fillId="24" borderId="25" xfId="1" applyFill="1" applyBorder="1" applyAlignment="1">
      <alignment horizontal="left" vertical="top" wrapText="1"/>
    </xf>
    <xf numFmtId="0" fontId="18" fillId="15" borderId="0" xfId="0" applyFont="1" applyFill="1" applyAlignment="1">
      <alignment wrapText="1"/>
    </xf>
    <xf numFmtId="0" fontId="18" fillId="15" borderId="0" xfId="0" applyFont="1" applyFill="1"/>
    <xf numFmtId="0" fontId="10" fillId="0" borderId="0" xfId="0" applyFont="1" applyAlignment="1">
      <alignment wrapText="1"/>
    </xf>
    <xf numFmtId="0" fontId="23" fillId="0" borderId="0" xfId="0" applyFont="1" applyAlignment="1">
      <alignment horizontal="left" vertical="top" wrapText="1"/>
    </xf>
    <xf numFmtId="0" fontId="23" fillId="0" borderId="0" xfId="0" applyFont="1" applyAlignment="1">
      <alignment horizontal="left" vertical="top"/>
    </xf>
    <xf numFmtId="0" fontId="0" fillId="0" borderId="30" xfId="0" applyBorder="1" applyAlignment="1" applyProtection="1">
      <alignment wrapText="1"/>
      <protection locked="0"/>
    </xf>
    <xf numFmtId="0" fontId="0" fillId="0" borderId="31" xfId="0" applyBorder="1" applyAlignment="1" applyProtection="1">
      <alignment wrapText="1"/>
      <protection locked="0"/>
    </xf>
    <xf numFmtId="0" fontId="0" fillId="0" borderId="27" xfId="0" applyBorder="1" applyAlignment="1" applyProtection="1">
      <alignmen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27" xfId="0" applyBorder="1" applyAlignment="1" applyProtection="1">
      <alignment horizontal="left" wrapText="1"/>
      <protection locked="0"/>
    </xf>
  </cellXfs>
  <cellStyles count="3">
    <cellStyle name="Hyperlink" xfId="1" builtinId="8"/>
    <cellStyle name="Normal" xfId="0" builtinId="0"/>
    <cellStyle name="Percent" xfId="2" builtinId="5"/>
  </cellStyles>
  <dxfs count="272">
    <dxf>
      <fill>
        <patternFill>
          <bgColor theme="5" tint="0.79998168889431442"/>
        </patternFill>
      </fill>
    </dxf>
    <dxf>
      <fill>
        <patternFill>
          <bgColor rgb="FFECF7D0"/>
        </patternFill>
      </fill>
    </dxf>
    <dxf>
      <fill>
        <patternFill>
          <bgColor theme="4" tint="0.79998168889431442"/>
        </patternFill>
      </fill>
    </dxf>
    <dxf>
      <border>
        <bottom style="thin">
          <color theme="4"/>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5" tint="0.59996337778862885"/>
        </patternFill>
      </fill>
    </dxf>
    <dxf>
      <fill>
        <patternFill>
          <bgColor theme="5" tint="0.59996337778862885"/>
        </patternFill>
      </fill>
    </dxf>
    <dxf>
      <fill>
        <patternFill>
          <bgColor rgb="FFFF84C1"/>
        </patternFill>
      </fill>
    </dxf>
    <dxf>
      <fill>
        <patternFill>
          <bgColor rgb="FFFF84C1"/>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fill>
        <patternFill>
          <bgColor theme="1" tint="4.9989318521683403E-2"/>
        </patternFill>
      </fill>
    </dxf>
    <dxf>
      <font>
        <color theme="0"/>
      </font>
      <fill>
        <patternFill>
          <bgColor theme="1"/>
        </patternFill>
      </fill>
    </dxf>
    <dxf>
      <fill>
        <patternFill patternType="solid">
          <bgColor rgb="FF808080"/>
        </patternFill>
      </fill>
    </dxf>
    <dxf>
      <fill>
        <patternFill>
          <bgColor theme="5" tint="0.59996337778862885"/>
        </patternFill>
      </fill>
    </dxf>
    <dxf>
      <fill>
        <patternFill>
          <bgColor theme="5" tint="0.59996337778862885"/>
        </patternFill>
      </fill>
    </dxf>
    <dxf>
      <font>
        <color theme="0"/>
      </font>
      <fill>
        <patternFill>
          <bgColor theme="1" tint="4.9989318521683403E-2"/>
        </patternFill>
      </fill>
    </dxf>
    <dxf>
      <font>
        <b/>
        <i val="0"/>
        <color rgb="FF000000"/>
      </font>
      <fill>
        <patternFill>
          <bgColor rgb="FFFF0000"/>
        </patternFill>
      </fill>
    </dxf>
    <dxf>
      <fill>
        <patternFill>
          <bgColor theme="5" tint="0.59996337778862885"/>
        </patternFill>
      </fill>
    </dxf>
    <dxf>
      <font>
        <b/>
        <i val="0"/>
        <color rgb="FF7D0000"/>
      </font>
      <fill>
        <patternFill>
          <bgColor theme="5" tint="0.59996337778862885"/>
        </patternFill>
      </fill>
    </dxf>
    <dxf>
      <fill>
        <patternFill>
          <bgColor theme="5" tint="0.59996337778862885"/>
        </patternFill>
      </fill>
    </dxf>
    <dxf>
      <font>
        <b/>
        <i val="0"/>
        <color rgb="FF7D0000"/>
      </font>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ont>
        <color theme="0"/>
      </font>
    </dxf>
    <dxf>
      <font>
        <b/>
        <i val="0"/>
        <color theme="0"/>
      </font>
      <fill>
        <patternFill>
          <bgColor theme="5"/>
        </patternFill>
      </fill>
      <border>
        <left style="thin">
          <color theme="0"/>
        </left>
        <right style="thin">
          <color theme="0"/>
        </right>
        <top style="thin">
          <color theme="0"/>
        </top>
        <bottom style="thin">
          <color theme="0"/>
        </bottom>
      </border>
    </dxf>
    <dxf>
      <font>
        <b/>
        <i val="0"/>
        <color theme="0"/>
      </font>
      <fill>
        <patternFill>
          <bgColor theme="5"/>
        </patternFill>
      </fill>
      <border>
        <left style="thin">
          <color theme="0"/>
        </left>
        <right style="thin">
          <color theme="0"/>
        </right>
        <top style="thin">
          <color theme="0"/>
        </top>
        <bottom style="thin">
          <color theme="0"/>
        </bottom>
        <vertical/>
        <horizontal/>
      </border>
    </dxf>
    <dxf>
      <numFmt numFmtId="0" formatCode="General"/>
    </dxf>
    <dxf>
      <numFmt numFmtId="0" formatCode="Genera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patternFill>
      </fill>
    </dxf>
    <dxf>
      <font>
        <b val="0"/>
        <i val="0"/>
        <strike val="0"/>
        <condense val="0"/>
        <extend val="0"/>
        <outline val="0"/>
        <shadow val="0"/>
        <u val="none"/>
        <vertAlign val="baseline"/>
        <sz val="11"/>
        <color theme="3"/>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3"/>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3"/>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3"/>
        <name val="Calibri"/>
        <family val="2"/>
        <scheme val="minor"/>
      </font>
      <protection locked="0" hidden="0"/>
    </dxf>
    <dxf>
      <font>
        <b val="0"/>
        <i val="0"/>
        <strike val="0"/>
        <condense val="0"/>
        <extend val="0"/>
        <outline val="0"/>
        <shadow val="0"/>
        <u val="none"/>
        <vertAlign val="baseline"/>
        <sz val="11"/>
        <color theme="3"/>
        <name val="Calibri"/>
        <family val="2"/>
        <scheme val="minor"/>
      </font>
      <protection locked="0" hidden="0"/>
    </dxf>
    <dxf>
      <font>
        <b val="0"/>
        <i val="0"/>
        <strike val="0"/>
        <condense val="0"/>
        <extend val="0"/>
        <outline val="0"/>
        <shadow val="0"/>
        <u val="none"/>
        <vertAlign val="baseline"/>
        <sz val="11"/>
        <color theme="3"/>
        <name val="Calibri"/>
        <family val="2"/>
        <scheme val="minor"/>
      </font>
      <alignment horizontal="left" vertical="top" textRotation="0" wrapText="1" indent="0" justifyLastLine="0" shrinkToFit="0" readingOrder="0"/>
    </dxf>
    <dxf>
      <border outline="0">
        <top style="thin">
          <color theme="4" tint="0.39997558519241921"/>
        </top>
      </border>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theme="3"/>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3"/>
        <name val="Calibri"/>
        <family val="2"/>
        <scheme val="minor"/>
      </font>
      <protection locked="0" hidden="0"/>
    </dxf>
    <dxf>
      <font>
        <b val="0"/>
        <i val="0"/>
        <strike val="0"/>
        <condense val="0"/>
        <extend val="0"/>
        <outline val="0"/>
        <shadow val="0"/>
        <u val="none"/>
        <vertAlign val="baseline"/>
        <sz val="11"/>
        <color theme="3"/>
        <name val="Calibri"/>
        <family val="2"/>
        <scheme val="minor"/>
      </font>
      <protection locked="0" hidden="0"/>
    </dxf>
    <dxf>
      <font>
        <b val="0"/>
        <i val="0"/>
        <strike val="0"/>
        <condense val="0"/>
        <extend val="0"/>
        <outline val="0"/>
        <shadow val="0"/>
        <u val="none"/>
        <vertAlign val="baseline"/>
        <sz val="11"/>
        <color theme="3"/>
        <name val="Calibri"/>
        <family val="2"/>
        <scheme val="minor"/>
      </font>
      <alignment horizontal="left" vertical="top" textRotation="0" wrapText="1" indent="0" justifyLastLine="0" shrinkToFit="0" readingOrder="0"/>
    </dxf>
    <dxf>
      <border outline="0">
        <top style="thin">
          <color theme="4" tint="0.39997558519241921"/>
        </top>
      </border>
    </dxf>
    <dxf>
      <font>
        <strike val="0"/>
        <outline val="0"/>
        <shadow val="0"/>
        <u val="none"/>
        <vertAlign val="baseline"/>
        <sz val="11"/>
        <color theme="0"/>
        <name val="Calibri"/>
        <family val="2"/>
        <scheme val="minor"/>
      </font>
      <alignment vertical="bottom" textRotation="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alignment horizontal="left" vertical="top"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alignment horizontal="left" vertical="top" textRotation="0" wrapText="1"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alignment horizontal="left" vertical="top"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alignment horizontal="left" vertical="top" textRotation="0" wrapText="1"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alignment horizontal="left" vertical="top" textRotation="0" wrapText="1"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protection locked="0" hidden="0"/>
    </dxf>
    <dxf>
      <font>
        <b val="0"/>
        <i val="0"/>
        <strike val="0"/>
        <condense val="0"/>
        <extend val="0"/>
        <outline val="0"/>
        <shadow val="0"/>
        <u val="none"/>
        <vertAlign val="baseline"/>
        <sz val="11"/>
        <color theme="3"/>
        <name val="Calibri"/>
        <scheme val="minor"/>
      </font>
      <fill>
        <patternFill patternType="none">
          <fgColor theme="4" tint="0.79998168889431442"/>
          <bgColor auto="1"/>
        </patternFill>
      </fill>
      <alignment horizontal="left" vertical="top" textRotation="0" wrapText="1"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border diagonalUp="0" diagonalDown="0">
        <left/>
        <right/>
        <top style="thin">
          <color theme="4" tint="0.39997558519241921"/>
        </top>
        <bottom/>
      </border>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general" vertical="top" textRotation="0" wrapText="1" indent="0" justifyLastLine="0" shrinkToFit="0" readingOrder="0"/>
      <protection locked="1" hidden="0"/>
    </dxf>
    <dxf>
      <border outline="0">
        <bottom style="thick">
          <color theme="3"/>
        </bottom>
      </border>
    </dxf>
    <dxf>
      <font>
        <b val="0"/>
        <i val="0"/>
        <strike val="0"/>
        <condense val="0"/>
        <extend val="0"/>
        <outline val="0"/>
        <shadow val="0"/>
        <u val="none"/>
        <vertAlign val="baseline"/>
        <sz val="11"/>
        <color theme="3"/>
        <name val="Calibri"/>
        <scheme val="minor"/>
      </font>
      <fill>
        <patternFill patternType="none">
          <fgColor indexed="64"/>
          <bgColor auto="1"/>
        </patternFill>
      </fill>
      <protection locked="1" hidden="0"/>
    </dxf>
    <dxf>
      <font>
        <strike val="0"/>
        <outline val="0"/>
        <shadow val="0"/>
        <u val="none"/>
        <vertAlign val="baseline"/>
        <sz val="11"/>
        <color theme="0"/>
        <name val="Calibri"/>
        <scheme val="minor"/>
      </font>
      <fill>
        <patternFill patternType="none">
          <fgColor indexed="64"/>
          <bgColor auto="1"/>
        </patternFill>
      </fill>
      <protection locked="1" hidden="0"/>
    </dxf>
    <dxf>
      <font>
        <b val="0"/>
        <i val="0"/>
        <strike val="0"/>
        <condense val="0"/>
        <extend val="0"/>
        <outline val="0"/>
        <shadow val="0"/>
        <u val="none"/>
        <vertAlign val="baseline"/>
        <sz val="11"/>
        <color theme="3"/>
        <name val="Calibri"/>
        <scheme val="minor"/>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3"/>
        <name val="Calibri"/>
        <scheme val="minor"/>
      </font>
      <fill>
        <patternFill patternType="none">
          <fgColor indexed="64"/>
          <bgColor auto="1"/>
        </patternFill>
      </fill>
      <alignment textRotation="0" wrapText="1" indent="0" justifyLastLine="0" shrinkToFit="0" readingOrder="0"/>
      <protection locked="1" hidden="0"/>
    </dxf>
    <dxf>
      <border outline="0">
        <top style="thick">
          <color theme="3"/>
        </top>
      </border>
    </dxf>
    <dxf>
      <font>
        <b val="0"/>
        <i val="0"/>
        <strike val="0"/>
        <condense val="0"/>
        <extend val="0"/>
        <outline val="0"/>
        <shadow val="0"/>
        <u val="none"/>
        <vertAlign val="baseline"/>
        <sz val="11"/>
        <color theme="3"/>
        <name val="Calibri"/>
        <scheme val="minor"/>
      </font>
      <fill>
        <patternFill patternType="none">
          <fgColor indexed="64"/>
          <bgColor auto="1"/>
        </patternFill>
      </fill>
      <protection locked="1" hidden="0"/>
    </dxf>
    <dxf>
      <font>
        <b val="0"/>
        <i val="0"/>
        <strike val="0"/>
        <condense val="0"/>
        <extend val="0"/>
        <outline val="0"/>
        <shadow val="0"/>
        <u val="none"/>
        <vertAlign val="baseline"/>
        <sz val="11"/>
        <color theme="0"/>
        <name val="Calibri"/>
        <scheme val="minor"/>
      </font>
      <fill>
        <patternFill patternType="none">
          <fgColor indexed="64"/>
          <bgColor auto="1"/>
        </patternFill>
      </fill>
      <protection locked="1" hidden="0"/>
    </dxf>
    <dxf>
      <numFmt numFmtId="164" formatCode="dd\-mmm\-yyyy"/>
      <border diagonalUp="0" diagonalDown="0">
        <left style="thin">
          <color theme="4" tint="-0.499984740745262"/>
        </left>
        <right style="thin">
          <color theme="4" tint="-0.499984740745262"/>
        </right>
        <top/>
        <bottom/>
        <vertical/>
        <horizontal/>
      </border>
      <protection locked="0" hidden="0"/>
    </dxf>
    <dxf>
      <numFmt numFmtId="164" formatCode="dd\-mmm\-yyyy"/>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border diagonalUp="0" diagonalDown="0">
        <left style="thick">
          <color theme="4" tint="-0.499984740745262"/>
        </left>
        <right style="thick">
          <color theme="4" tint="-0.499984740745262"/>
        </right>
        <vertical style="thick">
          <color theme="4" tint="-0.499984740745262"/>
        </vertical>
      </border>
      <protection locked="0" hidden="0"/>
    </dxf>
    <dxf>
      <border diagonalUp="0" diagonalDown="0">
        <left style="thick">
          <color theme="4" tint="-0.499984740745262"/>
        </left>
        <right style="thick">
          <color theme="4" tint="-0.499984740745262"/>
        </right>
        <vertical style="thick">
          <color theme="4" tint="-0.499984740745262"/>
        </vertical>
      </border>
      <protection locked="0" hidden="0"/>
    </dxf>
    <dxf>
      <numFmt numFmtId="164" formatCode="dd\-mmm\-yyyy"/>
      <border diagonalUp="0" diagonalDown="0">
        <left style="thick">
          <color theme="4" tint="-0.499984740745262"/>
        </left>
        <right style="thick">
          <color theme="4" tint="-0.499984740745262"/>
        </right>
        <vertical style="thick">
          <color theme="4" tint="-0.499984740745262"/>
        </vertical>
      </border>
      <protection locked="0" hidden="0"/>
    </dxf>
    <dxf>
      <numFmt numFmtId="164" formatCode="dd\-mmm\-yyyy"/>
      <border diagonalUp="0" diagonalDown="0">
        <left style="thin">
          <color theme="4" tint="-0.499984740745262"/>
        </left>
        <right style="thick">
          <color theme="4" tint="-0.499984740745262"/>
        </right>
        <vertical style="thin">
          <color theme="4" tint="-0.499984740745262"/>
        </vertical>
      </border>
      <protection locked="0" hidden="0"/>
    </dxf>
    <dxf>
      <numFmt numFmtId="164" formatCode="dd\-mmm\-yyyy"/>
      <border diagonalUp="0" diagonalDown="0">
        <left style="thin">
          <color theme="4" tint="-0.499984740745262"/>
        </left>
        <right style="thin">
          <color theme="4" tint="-0.499984740745262"/>
        </right>
        <vertical style="thin">
          <color theme="4" tint="-0.499984740745262"/>
        </vertical>
      </border>
      <protection locked="0" hidden="0"/>
    </dxf>
    <dxf>
      <numFmt numFmtId="164" formatCode="dd\-mmm\-yyyy"/>
      <border diagonalUp="0" diagonalDown="0">
        <left style="thick">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top/>
        <bottom/>
        <vertical/>
        <horizontal/>
      </border>
      <protection locked="0" hidden="0"/>
    </dxf>
    <dxf>
      <border diagonalUp="0" diagonalDown="0">
        <left style="thin">
          <color theme="4" tint="-0.499984740745262"/>
        </left>
        <right style="thin">
          <color theme="4" tint="-0.499984740745262"/>
        </right>
        <top/>
        <bottom/>
        <vertical/>
        <horizontal/>
      </border>
      <protection locked="0" hidden="0"/>
    </dxf>
    <dxf>
      <border diagonalUp="0" diagonalDown="0">
        <left style="thin">
          <color theme="4" tint="-0.499984740745262"/>
        </left>
        <right style="thin">
          <color theme="4" tint="-0.499984740745262"/>
        </right>
        <top/>
        <bottom/>
        <vertical/>
        <horizontal/>
      </border>
      <protection locked="0" hidden="0"/>
    </dxf>
    <dxf>
      <border diagonalUp="0" diagonalDown="0">
        <left style="thin">
          <color theme="4" tint="-0.499984740745262"/>
        </left>
        <right style="thin">
          <color theme="4" tint="-0.499984740745262"/>
        </right>
        <top/>
        <bottom/>
        <vertical/>
        <horizontal/>
      </border>
      <protection locked="0" hidden="0"/>
    </dxf>
    <dxf>
      <border diagonalUp="0" diagonalDown="0">
        <left style="thick">
          <color theme="4" tint="-0.499984740745262"/>
        </left>
        <right style="thick">
          <color theme="4" tint="-0.499984740745262"/>
        </right>
        <vertical style="thick">
          <color theme="4" tint="-0.499984740745262"/>
        </vertical>
      </border>
      <protection locked="0" hidden="0"/>
    </dxf>
    <dxf>
      <alignment horizontal="left" vertical="bottom" textRotation="0" wrapText="0" indent="0" justifyLastLine="0" shrinkToFit="0" readingOrder="0"/>
      <border diagonalUp="0" diagonalDown="0">
        <left style="thin">
          <color theme="4" tint="-0.499984740745262"/>
        </left>
        <right style="thick">
          <color theme="4" tint="-0.499984740745262"/>
        </right>
        <top/>
        <bottom/>
        <vertical/>
        <horizontal/>
      </border>
      <protection locked="0" hidden="0"/>
    </dxf>
    <dxf>
      <alignment horizontal="left" vertical="bottom" textRotation="0" wrapText="0" indent="0" justifyLastLine="0" shrinkToFit="0" readingOrder="0"/>
      <border diagonalUp="0" diagonalDown="0">
        <left style="thin">
          <color theme="4" tint="-0.499984740745262"/>
        </left>
        <right style="thick">
          <color theme="4" tint="-0.499984740745262"/>
        </right>
        <top/>
        <bottom/>
        <vertical/>
        <horizontal/>
      </border>
      <protection locked="0" hidden="0"/>
    </dxf>
    <dxf>
      <numFmt numFmtId="164" formatCode="dd\-mmm\-yyyy"/>
      <alignment horizontal="left" vertical="bottom" textRotation="0" wrapText="0" indent="0" justifyLastLine="0" shrinkToFit="0" readingOrder="0"/>
      <border diagonalUp="0" diagonalDown="0">
        <left style="thin">
          <color theme="4" tint="-0.499984740745262"/>
        </left>
        <right style="thin">
          <color theme="4" tint="-0.499984740745262"/>
        </right>
        <top/>
        <bottom/>
        <vertical/>
        <horizontal/>
      </border>
      <protection locked="0" hidden="0"/>
    </dxf>
    <dxf>
      <alignment horizontal="left" vertical="bottom" textRotation="0" wrapText="0" indent="0" justifyLastLine="0" shrinkToFit="0" readingOrder="0"/>
      <border diagonalUp="0" diagonalDown="0">
        <left style="thin">
          <color theme="4" tint="-0.499984740745262"/>
        </left>
        <right/>
        <top/>
        <bottom/>
        <vertical/>
        <horizontal/>
      </border>
      <protection locked="0" hidden="0"/>
    </dxf>
    <dxf>
      <alignment horizontal="left" vertical="bottom" textRotation="0" wrapText="0" indent="0" justifyLastLine="0" shrinkToFit="0" readingOrder="0"/>
      <border diagonalUp="0" diagonalDown="0">
        <left style="thin">
          <color theme="4" tint="-0.499984740745262"/>
        </left>
        <right style="thick">
          <color theme="4" tint="-0.499984740745262"/>
        </right>
        <top/>
        <bottom/>
        <vertical/>
        <horizontal/>
      </border>
      <protection locked="0" hidden="0"/>
    </dxf>
    <dxf>
      <alignment horizontal="left" vertical="bottom" textRotation="0" wrapText="0" indent="0" justifyLastLine="0" shrinkToFit="0" readingOrder="0"/>
      <border diagonalUp="0" diagonalDown="0">
        <left style="thin">
          <color theme="4" tint="-0.499984740745262"/>
        </left>
        <right style="thick">
          <color theme="4" tint="-0.499984740745262"/>
        </right>
        <top/>
        <bottom/>
        <vertical/>
        <horizontal/>
      </border>
      <protection locked="0" hidden="0"/>
    </dxf>
    <dxf>
      <numFmt numFmtId="164" formatCode="dd\-mmm\-yyyy"/>
      <alignment horizontal="left" vertical="bottom" textRotation="0" wrapText="0" indent="0" justifyLastLine="0" shrinkToFit="0" readingOrder="0"/>
      <border diagonalUp="0" diagonalDown="0">
        <left style="thin">
          <color theme="4" tint="-0.499984740745262"/>
        </left>
        <right style="thin">
          <color theme="4" tint="-0.499984740745262"/>
        </right>
        <top/>
        <bottom/>
        <vertical/>
        <horizontal/>
      </border>
      <protection locked="0" hidden="0"/>
    </dxf>
    <dxf>
      <alignment horizontal="left" vertical="bottom" textRotation="0" wrapText="0" indent="0" justifyLastLine="0" shrinkToFit="0" readingOrder="0"/>
      <border diagonalUp="0" diagonalDown="0">
        <left style="thin">
          <color theme="4" tint="-0.499984740745262"/>
        </left>
        <right/>
        <top/>
        <bottom/>
        <vertical/>
        <horizontal/>
      </border>
      <protection locked="0" hidden="0"/>
    </dxf>
    <dxf>
      <alignment horizontal="left" vertical="bottom" textRotation="0" wrapText="0" indent="0" justifyLastLine="0" shrinkToFit="0" readingOrder="0"/>
      <border diagonalUp="0" diagonalDown="0">
        <left style="thick">
          <color theme="4" tint="-0.499984740745262"/>
        </left>
        <right style="thick">
          <color theme="4" tint="-0.499984740745262"/>
        </right>
        <top/>
        <bottom/>
        <vertical/>
        <horizontal/>
      </border>
      <protection locked="0" hidden="0"/>
    </dxf>
    <dxf>
      <border diagonalUp="0" diagonalDown="0">
        <left style="thick">
          <color theme="4" tint="-0.499984740745262"/>
        </left>
        <right style="thick">
          <color theme="4" tint="-0.499984740745262"/>
        </right>
        <top/>
        <bottom/>
        <vertical/>
        <horizontal/>
      </border>
      <protection locked="0" hidden="0"/>
    </dxf>
    <dxf>
      <border diagonalUp="0" diagonalDown="0">
        <left style="thick">
          <color theme="4" tint="-0.499984740745262"/>
        </left>
        <right style="thick">
          <color theme="4" tint="-0.499984740745262"/>
        </right>
        <vertical style="thick">
          <color theme="4" tint="-0.499984740745262"/>
        </vertical>
      </border>
      <protection locked="0" hidden="0"/>
    </dxf>
    <dxf>
      <border diagonalUp="0" diagonalDown="0">
        <left style="thin">
          <color theme="4" tint="-0.499984740745262"/>
        </left>
        <right style="thick">
          <color theme="4" tint="-0.499984740745262"/>
        </right>
        <top/>
        <bottom/>
        <vertical style="thin">
          <color theme="4" tint="-0.499984740745262"/>
        </vertical>
        <horizont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ck">
          <color theme="4" tint="-0.499984740745262"/>
        </left>
        <right style="thin">
          <color theme="4" tint="-0.499984740745262"/>
        </right>
        <top/>
        <bottom/>
        <vertical style="thin">
          <color theme="4" tint="-0.499984740745262"/>
        </vertical>
        <horizontal/>
      </border>
      <protection locked="0" hidden="0"/>
    </dxf>
    <dxf>
      <border diagonalUp="0" diagonalDown="0">
        <left style="thin">
          <color theme="4" tint="-0.499984740745262"/>
        </left>
        <right style="thick">
          <color theme="4" tint="-0.499984740745262"/>
        </right>
        <top/>
        <bottom/>
        <vertical style="thin">
          <color theme="4" tint="-0.499984740745262"/>
        </vertical>
        <horizont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ck">
          <color theme="4" tint="-0.499984740745262"/>
        </left>
        <right style="thin">
          <color theme="4" tint="-0.499984740745262"/>
        </right>
        <top/>
        <bottom/>
        <vertical style="thin">
          <color theme="4" tint="-0.499984740745262"/>
        </vertical>
        <horizontal/>
      </border>
      <protection locked="0" hidden="0"/>
    </dxf>
    <dxf>
      <border diagonalUp="0" diagonalDown="0">
        <left style="thin">
          <color theme="4" tint="-0.499984740745262"/>
        </left>
        <right style="thick">
          <color theme="4" tint="-0.499984740745262"/>
        </right>
        <top/>
        <bottom/>
        <vertical style="thin">
          <color theme="4" tint="-0.499984740745262"/>
        </vertical>
        <horizont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ck">
          <color theme="4" tint="-0.499984740745262"/>
        </left>
        <right style="thin">
          <color theme="4" tint="-0.499984740745262"/>
        </right>
        <top/>
        <bottom/>
        <vertical style="thin">
          <color theme="4" tint="-0.499984740745262"/>
        </vertical>
        <horizontal/>
      </border>
      <protection locked="0" hidden="0"/>
    </dxf>
    <dxf>
      <numFmt numFmtId="164" formatCode="dd\-mmm\-yyyy"/>
      <border diagonalUp="0" diagonalDown="0">
        <left style="thick">
          <color theme="4" tint="-0.499984740745262"/>
        </left>
        <right style="thin">
          <color theme="4" tint="-0.499984740745262"/>
        </right>
        <top/>
        <bottom/>
        <vertical/>
        <horizontal/>
      </border>
      <protection locked="0" hidden="0"/>
    </dxf>
    <dxf>
      <numFmt numFmtId="164" formatCode="dd\-mmm\-yyyy"/>
      <border diagonalUp="0" diagonalDown="0">
        <left style="thick">
          <color theme="4" tint="-0.499984740745262"/>
        </left>
        <right style="thin">
          <color theme="4" tint="-0.499984740745262"/>
        </right>
        <top/>
        <bottom/>
        <vertical/>
        <horizontal/>
      </border>
      <protection locked="0" hidden="0"/>
    </dxf>
    <dxf>
      <numFmt numFmtId="164" formatCode="dd\-mmm\-yyyy"/>
      <border diagonalUp="0" diagonalDown="0">
        <left style="thick">
          <color theme="4" tint="-0.499984740745262"/>
        </left>
        <right style="thick">
          <color theme="4" tint="-0.499984740745262"/>
        </right>
        <top/>
        <bottom/>
        <vertical/>
        <horizontal/>
      </border>
      <protection locked="0" hidden="0"/>
    </dxf>
    <dxf>
      <numFmt numFmtId="164" formatCode="dd\-mmm\-yyyy"/>
      <protection locked="0" hidden="0"/>
    </dxf>
    <dxf>
      <border diagonalUp="0" diagonalDown="0">
        <left style="thick">
          <color theme="4" tint="-0.499984740745262"/>
        </left>
        <right style="thick">
          <color theme="4" tint="-0.499984740745262"/>
        </right>
        <vertical/>
      </border>
      <protection locked="0" hidden="0"/>
    </dxf>
    <dxf>
      <numFmt numFmtId="164" formatCode="dd\-mmm\-yyyy"/>
      <border diagonalUp="0" diagonalDown="0">
        <left style="thick">
          <color theme="4" tint="-0.499984740745262"/>
        </left>
        <right style="thin">
          <color theme="4" tint="-0.499984740745262"/>
        </right>
        <vertical style="thin">
          <color theme="4" tint="-0.499984740745262"/>
        </vertical>
      </border>
      <protection locked="0" hidden="0"/>
    </dxf>
    <dxf>
      <numFmt numFmtId="164" formatCode="dd\-mmm\-yyyy"/>
      <border diagonalUp="0" diagonalDown="0">
        <left style="thick">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ck">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numFmt numFmtId="164" formatCode="dd\-mmm\-yyyy"/>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style="thin">
          <color theme="4" tint="-0.499984740745262"/>
        </left>
        <right style="thin">
          <color theme="4" tint="-0.499984740745262"/>
        </right>
        <vertical style="thin">
          <color theme="4" tint="-0.499984740745262"/>
        </vertical>
      </border>
      <protection locked="0" hidden="0"/>
    </dxf>
    <dxf>
      <border diagonalUp="0" diagonalDown="0">
        <left/>
        <right style="thin">
          <color theme="4" tint="-0.499984740745262"/>
        </right>
        <vertical style="thin">
          <color theme="4" tint="-0.499984740745262"/>
        </vertical>
      </border>
    </dxf>
    <dxf>
      <border>
        <bottom style="thick">
          <color theme="4" tint="-0.499984740745262"/>
        </bottom>
      </border>
    </dxf>
    <dxf>
      <alignment horizontal="left" vertical="bottom" textRotation="0" wrapText="1" indent="0" justifyLastLine="0" shrinkToFit="0" readingOrder="0"/>
    </dxf>
    <dxf>
      <protection locked="0" hidden="0"/>
    </dxf>
    <dxf>
      <protection locked="0" hidden="0"/>
    </dxf>
    <dxf>
      <protection locked="0" hidden="0"/>
    </dxf>
    <dxf>
      <protection locked="0" hidden="0"/>
    </dxf>
    <dxf>
      <protection locked="0" hidden="0"/>
    </dxf>
    <dxf>
      <protection locked="0" hidden="0"/>
    </dxf>
    <dxf>
      <numFmt numFmtId="1" formatCode="0"/>
      <protection locked="0" hidden="0"/>
    </dxf>
    <dxf>
      <numFmt numFmtId="1" formatCode="0"/>
      <protection locked="0" hidden="0"/>
    </dxf>
    <dxf>
      <numFmt numFmtId="1" formatCode="0"/>
      <protection locked="0" hidden="0"/>
    </dxf>
    <dxf>
      <numFmt numFmtId="1" formatCode="0"/>
      <protection locked="0" hidden="0"/>
    </dxf>
    <dxf>
      <protection locked="0" hidden="0"/>
    </dxf>
    <dxf>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3"/>
        <name val="Calibri"/>
        <family val="2"/>
        <scheme val="minor"/>
      </font>
      <alignment horizontal="general" vertical="distributed" textRotation="0" wrapText="0"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distributed" textRotation="0" wrapText="0" indent="0" justifyLastLine="0" shrinkToFit="0" readingOrder="0"/>
    </dxf>
    <dxf>
      <font>
        <b/>
        <i val="0"/>
        <strike val="0"/>
        <condense val="0"/>
        <extend val="0"/>
        <outline val="0"/>
        <shadow val="0"/>
        <u/>
        <vertAlign val="baseline"/>
        <sz val="11"/>
        <color theme="0"/>
        <name val="Calibri"/>
        <family val="2"/>
        <scheme val="minor"/>
      </font>
      <fill>
        <patternFill patternType="solid">
          <fgColor indexed="64"/>
          <bgColor theme="3"/>
        </patternFill>
      </fill>
      <alignment horizontal="center" vertical="distributed" textRotation="0" wrapText="0"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top" textRotation="0" wrapText="1" indent="0" justifyLastLine="0" shrinkToFit="0" readingOrder="0"/>
    </dxf>
    <dxf>
      <font>
        <b/>
        <i val="0"/>
        <strike val="0"/>
        <condense val="0"/>
        <extend val="0"/>
        <outline val="0"/>
        <shadow val="0"/>
        <u/>
        <vertAlign val="baseline"/>
        <sz val="11"/>
        <color theme="0"/>
        <name val="Calibri"/>
        <family val="2"/>
        <scheme val="minor"/>
      </font>
      <fill>
        <patternFill patternType="solid">
          <fgColor indexed="64"/>
          <bgColor theme="5" tint="-0.499984740745262"/>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top" textRotation="0" wrapText="1" indent="0" justifyLastLine="0" shrinkToFit="0" readingOrder="0"/>
    </dxf>
    <dxf>
      <font>
        <b/>
        <strike val="0"/>
        <outline val="0"/>
        <shadow val="0"/>
        <u/>
        <vertAlign val="baseline"/>
        <sz val="11"/>
        <color theme="3"/>
        <name val="Calibri"/>
        <family val="2"/>
        <scheme val="minor"/>
      </font>
      <fill>
        <patternFill patternType="solid">
          <fgColor indexed="64"/>
          <bgColor theme="9"/>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3"/>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1"/>
        <color theme="2"/>
        <name val="Calibri"/>
        <family val="2"/>
        <scheme val="minor"/>
      </font>
      <fill>
        <patternFill patternType="solid">
          <fgColor indexed="64"/>
          <bgColor theme="1" tint="0.34998626667073579"/>
        </patternFill>
      </fill>
      <alignment horizontal="centerContinuous" vertical="bottom" textRotation="0" wrapText="0"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distributed" textRotation="0" wrapText="0"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distributed" textRotation="0" wrapText="0" indent="0" justifyLastLine="0" shrinkToFit="0" readingOrder="0"/>
    </dxf>
    <dxf>
      <font>
        <b/>
        <i val="0"/>
        <strike val="0"/>
        <condense val="0"/>
        <extend val="0"/>
        <outline val="0"/>
        <shadow val="0"/>
        <u/>
        <vertAlign val="baseline"/>
        <sz val="11"/>
        <color theme="0"/>
        <name val="Calibri"/>
        <family val="2"/>
        <scheme val="minor"/>
      </font>
      <fill>
        <patternFill patternType="solid">
          <fgColor indexed="64"/>
          <bgColor theme="1" tint="0.34998626667073579"/>
        </patternFill>
      </fill>
      <alignment horizontal="center" vertical="distributed" textRotation="0" wrapText="0"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distributed" textRotation="0" wrapText="1"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distributed" textRotation="0" wrapText="1" indent="0" justifyLastLine="0" shrinkToFit="0" readingOrder="0"/>
    </dxf>
    <dxf>
      <font>
        <b/>
        <i val="0"/>
        <strike val="0"/>
        <condense val="0"/>
        <extend val="0"/>
        <outline val="0"/>
        <shadow val="0"/>
        <u/>
        <vertAlign val="baseline"/>
        <sz val="11"/>
        <color theme="3"/>
        <name val="Calibri"/>
        <family val="2"/>
        <scheme val="minor"/>
      </font>
      <fill>
        <patternFill patternType="solid">
          <fgColor indexed="64"/>
          <bgColor theme="9"/>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3"/>
        <name val="Calibri"/>
        <family val="2"/>
        <scheme val="minor"/>
      </font>
      <alignment horizontal="general" vertical="bottom" textRotation="0" wrapText="1" indent="0" justifyLastLine="0" shrinkToFit="0" readingOrder="0"/>
    </dxf>
    <dxf>
      <font>
        <b/>
        <i val="0"/>
        <strike val="0"/>
        <condense val="0"/>
        <extend val="0"/>
        <outline val="0"/>
        <shadow val="0"/>
        <u/>
        <vertAlign val="baseline"/>
        <sz val="11"/>
        <color theme="0"/>
        <name val="Calibri"/>
        <family val="2"/>
        <scheme val="minor"/>
      </font>
      <fill>
        <patternFill patternType="solid">
          <fgColor indexed="64"/>
          <bgColor theme="3"/>
        </patternFill>
      </fil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ill>
        <patternFill patternType="none">
          <fgColor indexed="64"/>
          <bgColor auto="1"/>
        </patternFill>
      </fill>
      <alignment horizontal="center" vertical="top" textRotation="0" wrapText="0" indent="0" justifyLastLine="0" shrinkToFit="0" readingOrder="0"/>
    </dxf>
    <dxf>
      <fill>
        <patternFill patternType="solid">
          <fgColor indexed="64"/>
          <bgColor theme="5" tint="0.59999389629810485"/>
        </patternFill>
      </fill>
      <alignment horizontal="center" vertical="top" textRotation="0" wrapText="0" indent="0" justifyLastLine="0" shrinkToFit="0" readingOrder="0"/>
    </dxf>
    <dxf>
      <fill>
        <patternFill patternType="solid">
          <fgColor indexed="64"/>
          <bgColor theme="5" tint="0.59999389629810485"/>
        </patternFill>
      </fill>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AA77C7"/>
      <color rgb="FF53284F"/>
      <color rgb="FFC03B00"/>
      <color rgb="FFFA4D00"/>
      <color rgb="FFFF7F45"/>
      <color rgb="FFD3B8E2"/>
      <color rgb="FFECF7D0"/>
      <color rgb="FFFFC1E0"/>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Prep'!$A$1</c:f>
          <c:strCache>
            <c:ptCount val="1"/>
            <c:pt idx="0">
              <c:v> Epi Curve, Case Total = 0</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manualLayout>
          <c:layoutTarget val="inner"/>
          <c:xMode val="edge"/>
          <c:yMode val="edge"/>
          <c:x val="4.5597375412493923E-2"/>
          <c:y val="0.13717982283576358"/>
          <c:w val="0.94542998985173821"/>
          <c:h val="0.69241470654788928"/>
        </c:manualLayout>
      </c:layout>
      <c:barChart>
        <c:barDir val="col"/>
        <c:grouping val="stacked"/>
        <c:varyColors val="0"/>
        <c:ser>
          <c:idx val="0"/>
          <c:order val="0"/>
          <c:tx>
            <c:strRef>
              <c:f>'Data Prep'!$B$3</c:f>
              <c:strCache>
                <c:ptCount val="1"/>
                <c:pt idx="0">
                  <c:v>Attendee</c:v>
                </c:pt>
              </c:strCache>
            </c:strRef>
          </c:tx>
          <c:spPr>
            <a:solidFill>
              <a:schemeClr val="accent1"/>
            </a:solidFill>
            <a:ln>
              <a:noFill/>
            </a:ln>
            <a:effectLst/>
          </c:spPr>
          <c:invertIfNegative val="0"/>
          <c:cat>
            <c:multiLvlStrRef>
              <c:f>[0]!EpiCurveDate</c:f>
            </c:multiLvlStrRef>
          </c:cat>
          <c:val>
            <c:numRef>
              <c:f>[0]!EpiCurveS1</c:f>
              <c:numCache>
                <c:formatCode>General</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extLst>
            <c:ext xmlns:c16="http://schemas.microsoft.com/office/drawing/2014/chart" uri="{C3380CC4-5D6E-409C-BE32-E72D297353CC}">
              <c16:uniqueId val="{00000003-03B8-4392-AC4A-F1D13FDAECBD}"/>
            </c:ext>
          </c:extLst>
        </c:ser>
        <c:ser>
          <c:idx val="1"/>
          <c:order val="1"/>
          <c:tx>
            <c:strRef>
              <c:f>'Data Prep'!$C$3</c:f>
              <c:strCache>
                <c:ptCount val="1"/>
                <c:pt idx="0">
                  <c:v>Patient</c:v>
                </c:pt>
              </c:strCache>
            </c:strRef>
          </c:tx>
          <c:spPr>
            <a:solidFill>
              <a:schemeClr val="accent2"/>
            </a:solidFill>
            <a:ln>
              <a:noFill/>
            </a:ln>
            <a:effectLst/>
          </c:spPr>
          <c:invertIfNegative val="0"/>
          <c:val>
            <c:numRef>
              <c:f>[0]!EpiCurveS2</c:f>
              <c:numCache>
                <c:formatCode>General</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extLst>
            <c:ext xmlns:c16="http://schemas.microsoft.com/office/drawing/2014/chart" uri="{C3380CC4-5D6E-409C-BE32-E72D297353CC}">
              <c16:uniqueId val="{00000004-03B8-4392-AC4A-F1D13FDAECBD}"/>
            </c:ext>
          </c:extLst>
        </c:ser>
        <c:ser>
          <c:idx val="2"/>
          <c:order val="2"/>
          <c:tx>
            <c:strRef>
              <c:f>'Data Prep'!$D$3</c:f>
              <c:strCache>
                <c:ptCount val="1"/>
                <c:pt idx="0">
                  <c:v>Patron/Customer</c:v>
                </c:pt>
              </c:strCache>
            </c:strRef>
          </c:tx>
          <c:spPr>
            <a:solidFill>
              <a:schemeClr val="accent3"/>
            </a:solidFill>
            <a:ln>
              <a:noFill/>
            </a:ln>
            <a:effectLst/>
          </c:spPr>
          <c:invertIfNegative val="0"/>
          <c:val>
            <c:numRef>
              <c:f>[0]!EpiCurveS3</c:f>
              <c:numCache>
                <c:formatCode>General</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extLst>
            <c:ext xmlns:c16="http://schemas.microsoft.com/office/drawing/2014/chart" uri="{C3380CC4-5D6E-409C-BE32-E72D297353CC}">
              <c16:uniqueId val="{00000005-03B8-4392-AC4A-F1D13FDAECBD}"/>
            </c:ext>
          </c:extLst>
        </c:ser>
        <c:ser>
          <c:idx val="3"/>
          <c:order val="3"/>
          <c:tx>
            <c:strRef>
              <c:f>'Data Prep'!$E$3</c:f>
              <c:strCache>
                <c:ptCount val="1"/>
                <c:pt idx="0">
                  <c:v>Resident</c:v>
                </c:pt>
              </c:strCache>
            </c:strRef>
          </c:tx>
          <c:spPr>
            <a:solidFill>
              <a:schemeClr val="accent4"/>
            </a:solidFill>
            <a:ln>
              <a:noFill/>
            </a:ln>
            <a:effectLst/>
          </c:spPr>
          <c:invertIfNegative val="0"/>
          <c:val>
            <c:numRef>
              <c:f>[0]!EpiCurveS4</c:f>
              <c:numCache>
                <c:formatCode>General</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extLst>
            <c:ext xmlns:c16="http://schemas.microsoft.com/office/drawing/2014/chart" uri="{C3380CC4-5D6E-409C-BE32-E72D297353CC}">
              <c16:uniqueId val="{00000006-03B8-4392-AC4A-F1D13FDAECBD}"/>
            </c:ext>
          </c:extLst>
        </c:ser>
        <c:ser>
          <c:idx val="4"/>
          <c:order val="4"/>
          <c:tx>
            <c:strRef>
              <c:f>'Data Prep'!$F$3</c:f>
              <c:strCache>
                <c:ptCount val="1"/>
                <c:pt idx="0">
                  <c:v>Staff</c:v>
                </c:pt>
              </c:strCache>
            </c:strRef>
          </c:tx>
          <c:spPr>
            <a:solidFill>
              <a:schemeClr val="accent5"/>
            </a:solidFill>
            <a:ln>
              <a:noFill/>
            </a:ln>
            <a:effectLst/>
          </c:spPr>
          <c:invertIfNegative val="0"/>
          <c:val>
            <c:numRef>
              <c:f>[0]!EpiCurveS5</c:f>
              <c:numCache>
                <c:formatCode>General</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extLst>
            <c:ext xmlns:c16="http://schemas.microsoft.com/office/drawing/2014/chart" uri="{C3380CC4-5D6E-409C-BE32-E72D297353CC}">
              <c16:uniqueId val="{00000007-03B8-4392-AC4A-F1D13FDAECBD}"/>
            </c:ext>
          </c:extLst>
        </c:ser>
        <c:ser>
          <c:idx val="5"/>
          <c:order val="5"/>
          <c:tx>
            <c:strRef>
              <c:f>'Data Prep'!$G$3</c:f>
              <c:strCache>
                <c:ptCount val="1"/>
                <c:pt idx="0">
                  <c:v>Student</c:v>
                </c:pt>
              </c:strCache>
            </c:strRef>
          </c:tx>
          <c:spPr>
            <a:solidFill>
              <a:schemeClr val="accent6"/>
            </a:solidFill>
            <a:ln>
              <a:noFill/>
            </a:ln>
            <a:effectLst/>
          </c:spPr>
          <c:invertIfNegative val="0"/>
          <c:val>
            <c:numRef>
              <c:f>[0]!EpiCurveS6</c:f>
              <c:numCache>
                <c:formatCode>General</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extLst>
            <c:ext xmlns:c16="http://schemas.microsoft.com/office/drawing/2014/chart" uri="{C3380CC4-5D6E-409C-BE32-E72D297353CC}">
              <c16:uniqueId val="{00000008-03B8-4392-AC4A-F1D13FDAECBD}"/>
            </c:ext>
          </c:extLst>
        </c:ser>
        <c:ser>
          <c:idx val="6"/>
          <c:order val="6"/>
          <c:tx>
            <c:strRef>
              <c:f>'Data Prep'!$H$3</c:f>
              <c:strCache>
                <c:ptCount val="1"/>
                <c:pt idx="0">
                  <c:v>Visitor</c:v>
                </c:pt>
              </c:strCache>
            </c:strRef>
          </c:tx>
          <c:spPr>
            <a:solidFill>
              <a:schemeClr val="accent1">
                <a:lumMod val="60000"/>
              </a:schemeClr>
            </a:solidFill>
            <a:ln>
              <a:noFill/>
            </a:ln>
            <a:effectLst/>
          </c:spPr>
          <c:invertIfNegative val="0"/>
          <c:val>
            <c:numRef>
              <c:f>[0]!EpiCurveS7</c:f>
              <c:numCache>
                <c:formatCode>General</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extLst>
            <c:ext xmlns:c16="http://schemas.microsoft.com/office/drawing/2014/chart" uri="{C3380CC4-5D6E-409C-BE32-E72D297353CC}">
              <c16:uniqueId val="{00000009-03B8-4392-AC4A-F1D13FDAECBD}"/>
            </c:ext>
          </c:extLst>
        </c:ser>
        <c:ser>
          <c:idx val="7"/>
          <c:order val="7"/>
          <c:tx>
            <c:strRef>
              <c:f>'Data Prep'!$I$3</c:f>
              <c:strCache>
                <c:ptCount val="1"/>
                <c:pt idx="0">
                  <c:v>Volunteer</c:v>
                </c:pt>
              </c:strCache>
            </c:strRef>
          </c:tx>
          <c:spPr>
            <a:solidFill>
              <a:schemeClr val="accent2">
                <a:lumMod val="60000"/>
              </a:schemeClr>
            </a:solidFill>
            <a:ln>
              <a:noFill/>
            </a:ln>
            <a:effectLst/>
          </c:spPr>
          <c:invertIfNegative val="0"/>
          <c:val>
            <c:numRef>
              <c:f>[0]!EpiCurveS8</c:f>
              <c:numCache>
                <c:formatCode>General</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extLst>
            <c:ext xmlns:c16="http://schemas.microsoft.com/office/drawing/2014/chart" uri="{C3380CC4-5D6E-409C-BE32-E72D297353CC}">
              <c16:uniqueId val="{0000000A-03B8-4392-AC4A-F1D13FDAECBD}"/>
            </c:ext>
          </c:extLst>
        </c:ser>
        <c:ser>
          <c:idx val="8"/>
          <c:order val="8"/>
          <c:tx>
            <c:strRef>
              <c:f>'Data Prep'!$J$3</c:f>
              <c:strCache>
                <c:ptCount val="1"/>
                <c:pt idx="0">
                  <c:v>Other</c:v>
                </c:pt>
              </c:strCache>
            </c:strRef>
          </c:tx>
          <c:spPr>
            <a:solidFill>
              <a:schemeClr val="accent3">
                <a:lumMod val="60000"/>
              </a:schemeClr>
            </a:solidFill>
            <a:ln>
              <a:noFill/>
            </a:ln>
            <a:effectLst/>
          </c:spPr>
          <c:invertIfNegative val="0"/>
          <c:val>
            <c:numRef>
              <c:f>[0]!EpiCurveS9</c:f>
              <c:numCache>
                <c:formatCode>General</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numCache>
            </c:numRef>
          </c:val>
          <c:extLst>
            <c:ext xmlns:c16="http://schemas.microsoft.com/office/drawing/2014/chart" uri="{C3380CC4-5D6E-409C-BE32-E72D297353CC}">
              <c16:uniqueId val="{0000000B-03B8-4392-AC4A-F1D13FDAECBD}"/>
            </c:ext>
          </c:extLst>
        </c:ser>
        <c:dLbls>
          <c:showLegendKey val="0"/>
          <c:showVal val="0"/>
          <c:showCatName val="0"/>
          <c:showSerName val="0"/>
          <c:showPercent val="0"/>
          <c:showBubbleSize val="0"/>
        </c:dLbls>
        <c:gapWidth val="150"/>
        <c:overlap val="100"/>
        <c:axId val="803220736"/>
        <c:axId val="803210896"/>
      </c:barChart>
      <c:catAx>
        <c:axId val="803220736"/>
        <c:scaling>
          <c:orientation val="minMax"/>
        </c:scaling>
        <c:delete val="0"/>
        <c:axPos val="b"/>
        <c:numFmt formatCode="mmm\ 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210896"/>
        <c:crosses val="autoZero"/>
        <c:auto val="1"/>
        <c:lblAlgn val="ctr"/>
        <c:lblOffset val="100"/>
        <c:noMultiLvlLbl val="1"/>
      </c:catAx>
      <c:valAx>
        <c:axId val="803210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22073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Prep'!$AP$1</c:f>
          <c:strCache>
            <c:ptCount val="1"/>
            <c:pt idx="0">
              <c:v>Cases by Age Group</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'Data Prep'!$AQ$3</c:f>
              <c:strCache>
                <c:ptCount val="1"/>
                <c:pt idx="0">
                  <c:v>Case 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Prep'!$AP$4:$AP$12</c:f>
              <c:strCache>
                <c:ptCount val="9"/>
                <c:pt idx="0">
                  <c:v>&lt; 20</c:v>
                </c:pt>
                <c:pt idx="1">
                  <c:v>20s</c:v>
                </c:pt>
                <c:pt idx="2">
                  <c:v>30s</c:v>
                </c:pt>
                <c:pt idx="3">
                  <c:v>40s</c:v>
                </c:pt>
                <c:pt idx="4">
                  <c:v>50s</c:v>
                </c:pt>
                <c:pt idx="5">
                  <c:v>60s</c:v>
                </c:pt>
                <c:pt idx="6">
                  <c:v>70s</c:v>
                </c:pt>
                <c:pt idx="7">
                  <c:v>80s</c:v>
                </c:pt>
                <c:pt idx="8">
                  <c:v>90s+</c:v>
                </c:pt>
              </c:strCache>
            </c:strRef>
          </c:cat>
          <c:val>
            <c:numRef>
              <c:f>'Data Prep'!$AQ$4:$AQ$12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F1B-4345-A7DD-9BF53D721EE7}"/>
            </c:ext>
          </c:extLst>
        </c:ser>
        <c:dLbls>
          <c:showLegendKey val="0"/>
          <c:showVal val="0"/>
          <c:showCatName val="0"/>
          <c:showSerName val="0"/>
          <c:showPercent val="0"/>
          <c:showBubbleSize val="0"/>
        </c:dLbls>
        <c:gapWidth val="25"/>
        <c:axId val="603130056"/>
        <c:axId val="603132680"/>
      </c:barChart>
      <c:catAx>
        <c:axId val="60313005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3132680"/>
        <c:crosses val="autoZero"/>
        <c:auto val="1"/>
        <c:lblAlgn val="ctr"/>
        <c:lblOffset val="100"/>
        <c:noMultiLvlLbl val="0"/>
      </c:catAx>
      <c:valAx>
        <c:axId val="603132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31300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8.emf"/><Relationship Id="rId4" Type="http://schemas.openxmlformats.org/officeDocument/2006/relationships/image" Target="../media/image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9.emf"/></Relationships>
</file>

<file path=xl/drawings/_rels/drawing9.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123825</xdr:rowOff>
    </xdr:from>
    <xdr:to>
      <xdr:col>3</xdr:col>
      <xdr:colOff>1173353</xdr:colOff>
      <xdr:row>2</xdr:row>
      <xdr:rowOff>57150</xdr:rowOff>
    </xdr:to>
    <xdr:pic>
      <xdr:nvPicPr>
        <xdr:cNvPr id="3" name="Picture 2">
          <a:extLst>
            <a:ext uri="{FF2B5EF4-FFF2-40B4-BE49-F238E27FC236}">
              <a16:creationId xmlns:a16="http://schemas.microsoft.com/office/drawing/2014/main" id="{A8697D29-59D4-12F5-EB51-84831DCEA8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23825"/>
          <a:ext cx="1938528"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200025</xdr:colOff>
      <xdr:row>1</xdr:row>
      <xdr:rowOff>47625</xdr:rowOff>
    </xdr:from>
    <xdr:to>
      <xdr:col>2</xdr:col>
      <xdr:colOff>2141728</xdr:colOff>
      <xdr:row>2</xdr:row>
      <xdr:rowOff>314325</xdr:rowOff>
    </xdr:to>
    <xdr:pic>
      <xdr:nvPicPr>
        <xdr:cNvPr id="2" name="Picture 1">
          <a:extLst>
            <a:ext uri="{FF2B5EF4-FFF2-40B4-BE49-F238E27FC236}">
              <a16:creationId xmlns:a16="http://schemas.microsoft.com/office/drawing/2014/main" id="{7AE51DD7-89A0-4694-8683-AE57A2B0E5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9225" y="238125"/>
          <a:ext cx="1938528"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0</xdr:row>
      <xdr:rowOff>180975</xdr:rowOff>
    </xdr:from>
    <xdr:to>
      <xdr:col>6</xdr:col>
      <xdr:colOff>17653</xdr:colOff>
      <xdr:row>2</xdr:row>
      <xdr:rowOff>200025</xdr:rowOff>
    </xdr:to>
    <xdr:pic>
      <xdr:nvPicPr>
        <xdr:cNvPr id="4" name="Picture 3">
          <a:extLst>
            <a:ext uri="{FF2B5EF4-FFF2-40B4-BE49-F238E27FC236}">
              <a16:creationId xmlns:a16="http://schemas.microsoft.com/office/drawing/2014/main" id="{5DCF3AE2-719F-47C0-A50C-93D2DA5883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25" y="180975"/>
          <a:ext cx="1944878" cy="457200"/>
        </a:xfrm>
        <a:prstGeom prst="rect">
          <a:avLst/>
        </a:prstGeom>
      </xdr:spPr>
    </xdr:pic>
    <xdr:clientData/>
  </xdr:twoCellAnchor>
  <xdr:twoCellAnchor editAs="oneCell">
    <xdr:from>
      <xdr:col>34</xdr:col>
      <xdr:colOff>0</xdr:colOff>
      <xdr:row>1</xdr:row>
      <xdr:rowOff>0</xdr:rowOff>
    </xdr:from>
    <xdr:to>
      <xdr:col>36</xdr:col>
      <xdr:colOff>817753</xdr:colOff>
      <xdr:row>2</xdr:row>
      <xdr:rowOff>219075</xdr:rowOff>
    </xdr:to>
    <xdr:pic>
      <xdr:nvPicPr>
        <xdr:cNvPr id="6" name="Picture 5">
          <a:extLst>
            <a:ext uri="{FF2B5EF4-FFF2-40B4-BE49-F238E27FC236}">
              <a16:creationId xmlns:a16="http://schemas.microsoft.com/office/drawing/2014/main" id="{58D6340D-478D-4230-AAB6-E75593DA53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26725" y="200025"/>
          <a:ext cx="1932178" cy="457200"/>
        </a:xfrm>
        <a:prstGeom prst="rect">
          <a:avLst/>
        </a:prstGeom>
      </xdr:spPr>
    </xdr:pic>
    <xdr:clientData/>
  </xdr:twoCellAnchor>
  <xdr:twoCellAnchor editAs="oneCell">
    <xdr:from>
      <xdr:col>11</xdr:col>
      <xdr:colOff>0</xdr:colOff>
      <xdr:row>1</xdr:row>
      <xdr:rowOff>0</xdr:rowOff>
    </xdr:from>
    <xdr:to>
      <xdr:col>13</xdr:col>
      <xdr:colOff>770128</xdr:colOff>
      <xdr:row>2</xdr:row>
      <xdr:rowOff>219075</xdr:rowOff>
    </xdr:to>
    <xdr:pic>
      <xdr:nvPicPr>
        <xdr:cNvPr id="3" name="Picture 2">
          <a:extLst>
            <a:ext uri="{FF2B5EF4-FFF2-40B4-BE49-F238E27FC236}">
              <a16:creationId xmlns:a16="http://schemas.microsoft.com/office/drawing/2014/main" id="{1ECEAAB6-5085-465C-8E65-FF0DC2BB9D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25900" y="200025"/>
          <a:ext cx="1932178" cy="457200"/>
        </a:xfrm>
        <a:prstGeom prst="rect">
          <a:avLst/>
        </a:prstGeom>
      </xdr:spPr>
    </xdr:pic>
    <xdr:clientData/>
  </xdr:twoCellAnchor>
  <xdr:twoCellAnchor editAs="oneCell">
    <xdr:from>
      <xdr:col>43</xdr:col>
      <xdr:colOff>0</xdr:colOff>
      <xdr:row>1</xdr:row>
      <xdr:rowOff>0</xdr:rowOff>
    </xdr:from>
    <xdr:to>
      <xdr:col>47</xdr:col>
      <xdr:colOff>84328</xdr:colOff>
      <xdr:row>2</xdr:row>
      <xdr:rowOff>219075</xdr:rowOff>
    </xdr:to>
    <xdr:pic>
      <xdr:nvPicPr>
        <xdr:cNvPr id="5" name="Picture 4">
          <a:extLst>
            <a:ext uri="{FF2B5EF4-FFF2-40B4-BE49-F238E27FC236}">
              <a16:creationId xmlns:a16="http://schemas.microsoft.com/office/drawing/2014/main" id="{80B3521D-1EAF-4FC6-A180-867A3C4970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012900" y="200025"/>
          <a:ext cx="1932178"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1941703</xdr:colOff>
      <xdr:row>0</xdr:row>
      <xdr:rowOff>457200</xdr:rowOff>
    </xdr:to>
    <xdr:pic>
      <xdr:nvPicPr>
        <xdr:cNvPr id="2" name="Picture 1">
          <a:extLst>
            <a:ext uri="{FF2B5EF4-FFF2-40B4-BE49-F238E27FC236}">
              <a16:creationId xmlns:a16="http://schemas.microsoft.com/office/drawing/2014/main" id="{98F3DF8F-476C-40A9-8356-EFA7DECA1A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8528"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152400</xdr:colOff>
      <xdr:row>0</xdr:row>
      <xdr:rowOff>19050</xdr:rowOff>
    </xdr:from>
    <xdr:to>
      <xdr:col>8</xdr:col>
      <xdr:colOff>262128</xdr:colOff>
      <xdr:row>2</xdr:row>
      <xdr:rowOff>95250</xdr:rowOff>
    </xdr:to>
    <xdr:pic>
      <xdr:nvPicPr>
        <xdr:cNvPr id="2" name="Picture 1">
          <a:extLst>
            <a:ext uri="{FF2B5EF4-FFF2-40B4-BE49-F238E27FC236}">
              <a16:creationId xmlns:a16="http://schemas.microsoft.com/office/drawing/2014/main" id="{117DCE7C-6FF6-4474-A553-7E5B897D4F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7650" y="19050"/>
          <a:ext cx="1938528"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28575</xdr:rowOff>
        </xdr:from>
        <xdr:to>
          <xdr:col>0</xdr:col>
          <xdr:colOff>5038725</xdr:colOff>
          <xdr:row>19</xdr:row>
          <xdr:rowOff>95250</xdr:rowOff>
        </xdr:to>
        <xdr:pic>
          <xdr:nvPicPr>
            <xdr:cNvPr id="3" name="Picture 2">
              <a:extLst>
                <a:ext uri="{FF2B5EF4-FFF2-40B4-BE49-F238E27FC236}">
                  <a16:creationId xmlns:a16="http://schemas.microsoft.com/office/drawing/2014/main" id="{29CA09FF-62E6-471A-89EE-20B283B300D5}"/>
                </a:ext>
                <a:ext uri="{C183D7F6-B498-43B3-948B-1728B52AA6E4}">
                  <adec:decorative xmlns:adec="http://schemas.microsoft.com/office/drawing/2017/decorative" val="1"/>
                </a:ext>
              </a:extLst>
            </xdr:cNvPr>
            <xdr:cNvPicPr>
              <a:picLocks noChangeAspect="1" noChangeArrowheads="1"/>
              <a:extLst>
                <a:ext uri="{84589F7E-364E-4C9E-8A38-B11213B215E9}">
                  <a14:cameraTool cellRange="'Basic Information'!$A$2:$B$3" spid="_x0000_s26347"/>
                </a:ext>
              </a:extLst>
            </xdr:cNvPicPr>
          </xdr:nvPicPr>
          <xdr:blipFill>
            <a:blip xmlns:r="http://schemas.openxmlformats.org/officeDocument/2006/relationships" r:embed="rId1"/>
            <a:srcRect/>
            <a:stretch>
              <a:fillRect/>
            </a:stretch>
          </xdr:blipFill>
          <xdr:spPr bwMode="auto">
            <a:xfrm>
              <a:off x="0" y="2571750"/>
              <a:ext cx="5038725" cy="120967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5067300</xdr:colOff>
          <xdr:row>13</xdr:row>
          <xdr:rowOff>47625</xdr:rowOff>
        </xdr:from>
        <xdr:to>
          <xdr:col>0</xdr:col>
          <xdr:colOff>6496050</xdr:colOff>
          <xdr:row>18</xdr:row>
          <xdr:rowOff>57150</xdr:rowOff>
        </xdr:to>
        <xdr:pic>
          <xdr:nvPicPr>
            <xdr:cNvPr id="4" name="Picture 3">
              <a:extLst>
                <a:ext uri="{FF2B5EF4-FFF2-40B4-BE49-F238E27FC236}">
                  <a16:creationId xmlns:a16="http://schemas.microsoft.com/office/drawing/2014/main" id="{B718014C-D766-4B1C-B3B1-E3DC36F390E1}"/>
                </a:ext>
                <a:ext uri="{C183D7F6-B498-43B3-948B-1728B52AA6E4}">
                  <adec:decorative xmlns:adec="http://schemas.microsoft.com/office/drawing/2017/decorative" val="1"/>
                </a:ext>
              </a:extLst>
            </xdr:cNvPr>
            <xdr:cNvPicPr>
              <a:picLocks noChangeAspect="1" noChangeArrowheads="1"/>
              <a:extLst>
                <a:ext uri="{84589F7E-364E-4C9E-8A38-B11213B215E9}">
                  <a14:cameraTool cellRange="'Data Prep'!$AU$1:$AU$5" spid="_x0000_s26348"/>
                </a:ext>
              </a:extLst>
            </xdr:cNvPicPr>
          </xdr:nvPicPr>
          <xdr:blipFill>
            <a:blip xmlns:r="http://schemas.openxmlformats.org/officeDocument/2006/relationships" r:embed="rId2"/>
            <a:srcRect/>
            <a:stretch>
              <a:fillRect/>
            </a:stretch>
          </xdr:blipFill>
          <xdr:spPr bwMode="auto">
            <a:xfrm>
              <a:off x="5067300" y="2590800"/>
              <a:ext cx="1428750" cy="96202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0</xdr:col>
      <xdr:colOff>123825</xdr:colOff>
      <xdr:row>23</xdr:row>
      <xdr:rowOff>128586</xdr:rowOff>
    </xdr:from>
    <xdr:to>
      <xdr:col>0</xdr:col>
      <xdr:colOff>6963825</xdr:colOff>
      <xdr:row>37</xdr:row>
      <xdr:rowOff>161586</xdr:rowOff>
    </xdr:to>
    <xdr:graphicFrame macro="">
      <xdr:nvGraphicFramePr>
        <xdr:cNvPr id="5" name="Chart 4">
          <a:extLst>
            <a:ext uri="{FF2B5EF4-FFF2-40B4-BE49-F238E27FC236}">
              <a16:creationId xmlns:a16="http://schemas.microsoft.com/office/drawing/2014/main" id="{CE40BF55-5C33-44D6-B20F-FAB23A7449F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2219325</xdr:colOff>
      <xdr:row>0</xdr:row>
      <xdr:rowOff>47625</xdr:rowOff>
    </xdr:from>
    <xdr:to>
      <xdr:col>0</xdr:col>
      <xdr:colOff>4157853</xdr:colOff>
      <xdr:row>3</xdr:row>
      <xdr:rowOff>9525</xdr:rowOff>
    </xdr:to>
    <xdr:pic>
      <xdr:nvPicPr>
        <xdr:cNvPr id="6" name="Picture 5">
          <a:extLst>
            <a:ext uri="{FF2B5EF4-FFF2-40B4-BE49-F238E27FC236}">
              <a16:creationId xmlns:a16="http://schemas.microsoft.com/office/drawing/2014/main" id="{FDCBC589-B53F-482C-BD5D-9ED5623D19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9325" y="47625"/>
          <a:ext cx="1938528" cy="4572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19050</xdr:rowOff>
        </xdr:from>
        <xdr:to>
          <xdr:col>0</xdr:col>
          <xdr:colOff>5953125</xdr:colOff>
          <xdr:row>13</xdr:row>
          <xdr:rowOff>28575</xdr:rowOff>
        </xdr:to>
        <xdr:pic>
          <xdr:nvPicPr>
            <xdr:cNvPr id="8" name="Picture 7">
              <a:extLst>
                <a:ext uri="{FF2B5EF4-FFF2-40B4-BE49-F238E27FC236}">
                  <a16:creationId xmlns:a16="http://schemas.microsoft.com/office/drawing/2014/main" id="{786D7D29-0993-BFFE-F925-606DD9E11330}"/>
                </a:ext>
              </a:extLst>
            </xdr:cNvPr>
            <xdr:cNvPicPr>
              <a:picLocks noChangeAspect="1" noChangeArrowheads="1"/>
              <a:extLst>
                <a:ext uri="{84589F7E-364E-4C9E-8A38-B11213B215E9}">
                  <a14:cameraTool cellRange="'Data Prep'!$AC$31:$AJ$36" spid="_x0000_s26349"/>
                </a:ext>
              </a:extLst>
            </xdr:cNvPicPr>
          </xdr:nvPicPr>
          <xdr:blipFill>
            <a:blip xmlns:r="http://schemas.openxmlformats.org/officeDocument/2006/relationships" r:embed="rId5"/>
            <a:srcRect/>
            <a:stretch>
              <a:fillRect/>
            </a:stretch>
          </xdr:blipFill>
          <xdr:spPr bwMode="auto">
            <a:xfrm>
              <a:off x="0" y="1419225"/>
              <a:ext cx="5953125" cy="11525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3676650</xdr:colOff>
          <xdr:row>22</xdr:row>
          <xdr:rowOff>142875</xdr:rowOff>
        </xdr:from>
        <xdr:to>
          <xdr:col>0</xdr:col>
          <xdr:colOff>5105400</xdr:colOff>
          <xdr:row>26</xdr:row>
          <xdr:rowOff>152400</xdr:rowOff>
        </xdr:to>
        <xdr:pic>
          <xdr:nvPicPr>
            <xdr:cNvPr id="4" name="Picture 3">
              <a:extLst>
                <a:ext uri="{FF2B5EF4-FFF2-40B4-BE49-F238E27FC236}">
                  <a16:creationId xmlns:a16="http://schemas.microsoft.com/office/drawing/2014/main" id="{ADAEB1CC-29D8-47FB-9C33-34A0CA696053}"/>
                </a:ext>
                <a:ext uri="{C183D7F6-B498-43B3-948B-1728B52AA6E4}">
                  <adec:decorative xmlns:adec="http://schemas.microsoft.com/office/drawing/2017/decorative" val="1"/>
                </a:ext>
              </a:extLst>
            </xdr:cNvPr>
            <xdr:cNvPicPr>
              <a:picLocks noChangeAspect="1" noChangeArrowheads="1"/>
              <a:extLst>
                <a:ext uri="{84589F7E-364E-4C9E-8A38-B11213B215E9}">
                  <a14:cameraTool cellRange="'Data Prep'!$AU$7:$AU$10" spid="_x0000_s34304"/>
                </a:ext>
              </a:extLst>
            </xdr:cNvPicPr>
          </xdr:nvPicPr>
          <xdr:blipFill>
            <a:blip xmlns:r="http://schemas.openxmlformats.org/officeDocument/2006/relationships" r:embed="rId1"/>
            <a:srcRect/>
            <a:stretch>
              <a:fillRect/>
            </a:stretch>
          </xdr:blipFill>
          <xdr:spPr bwMode="auto">
            <a:xfrm>
              <a:off x="3676650" y="4257675"/>
              <a:ext cx="1428750" cy="7715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95250</xdr:rowOff>
        </xdr:from>
        <xdr:to>
          <xdr:col>0</xdr:col>
          <xdr:colOff>7096125</xdr:colOff>
          <xdr:row>22</xdr:row>
          <xdr:rowOff>104775</xdr:rowOff>
        </xdr:to>
        <xdr:pic>
          <xdr:nvPicPr>
            <xdr:cNvPr id="5" name="Picture 4">
              <a:extLst>
                <a:ext uri="{FF2B5EF4-FFF2-40B4-BE49-F238E27FC236}">
                  <a16:creationId xmlns:a16="http://schemas.microsoft.com/office/drawing/2014/main" id="{5F52871E-742E-4AF5-9522-178B8635C514}"/>
                </a:ext>
                <a:ext uri="{C183D7F6-B498-43B3-948B-1728B52AA6E4}">
                  <adec:decorative xmlns:adec="http://schemas.microsoft.com/office/drawing/2017/decorative" val="1"/>
                </a:ext>
              </a:extLst>
            </xdr:cNvPr>
            <xdr:cNvPicPr>
              <a:picLocks noChangeAspect="1" noChangeArrowheads="1"/>
              <a:extLst>
                <a:ext uri="{84589F7E-364E-4C9E-8A38-B11213B215E9}">
                  <a14:cameraTool cellRange="'Data Prep'!$AC$3:$AM$16" spid="_x0000_s34305"/>
                </a:ext>
              </a:extLst>
            </xdr:cNvPicPr>
          </xdr:nvPicPr>
          <xdr:blipFill>
            <a:blip xmlns:r="http://schemas.openxmlformats.org/officeDocument/2006/relationships" r:embed="rId2"/>
            <a:srcRect/>
            <a:stretch>
              <a:fillRect/>
            </a:stretch>
          </xdr:blipFill>
          <xdr:spPr bwMode="auto">
            <a:xfrm>
              <a:off x="0" y="1543050"/>
              <a:ext cx="7096125" cy="26765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5524500</xdr:colOff>
          <xdr:row>22</xdr:row>
          <xdr:rowOff>95250</xdr:rowOff>
        </xdr:from>
        <xdr:to>
          <xdr:col>0</xdr:col>
          <xdr:colOff>6953250</xdr:colOff>
          <xdr:row>27</xdr:row>
          <xdr:rowOff>104775</xdr:rowOff>
        </xdr:to>
        <xdr:pic>
          <xdr:nvPicPr>
            <xdr:cNvPr id="6" name="Picture 5">
              <a:extLst>
                <a:ext uri="{FF2B5EF4-FFF2-40B4-BE49-F238E27FC236}">
                  <a16:creationId xmlns:a16="http://schemas.microsoft.com/office/drawing/2014/main" id="{8761E4BB-C4B4-4643-B8B1-2191CDD0E4CB}"/>
                </a:ext>
                <a:ext uri="{C183D7F6-B498-43B3-948B-1728B52AA6E4}">
                  <adec:decorative xmlns:adec="http://schemas.microsoft.com/office/drawing/2017/decorative" val="1"/>
                </a:ext>
              </a:extLst>
            </xdr:cNvPr>
            <xdr:cNvPicPr>
              <a:picLocks noChangeAspect="1" noChangeArrowheads="1"/>
              <a:extLst>
                <a:ext uri="{84589F7E-364E-4C9E-8A38-B11213B215E9}">
                  <a14:cameraTool cellRange="'Data Prep'!$AU$11:$AU$15" spid="_x0000_s34306"/>
                </a:ext>
              </a:extLst>
            </xdr:cNvPicPr>
          </xdr:nvPicPr>
          <xdr:blipFill>
            <a:blip xmlns:r="http://schemas.openxmlformats.org/officeDocument/2006/relationships" r:embed="rId3"/>
            <a:srcRect/>
            <a:stretch>
              <a:fillRect/>
            </a:stretch>
          </xdr:blipFill>
          <xdr:spPr bwMode="auto">
            <a:xfrm>
              <a:off x="5524500" y="4210050"/>
              <a:ext cx="1428750" cy="96202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0</xdr:col>
      <xdr:colOff>2400300</xdr:colOff>
      <xdr:row>1</xdr:row>
      <xdr:rowOff>28575</xdr:rowOff>
    </xdr:from>
    <xdr:to>
      <xdr:col>0</xdr:col>
      <xdr:colOff>4338828</xdr:colOff>
      <xdr:row>3</xdr:row>
      <xdr:rowOff>47625</xdr:rowOff>
    </xdr:to>
    <xdr:pic>
      <xdr:nvPicPr>
        <xdr:cNvPr id="7" name="Picture 6">
          <a:extLst>
            <a:ext uri="{FF2B5EF4-FFF2-40B4-BE49-F238E27FC236}">
              <a16:creationId xmlns:a16="http://schemas.microsoft.com/office/drawing/2014/main" id="{74E1D76E-5A56-4158-AACF-5763B7667B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00300" y="85725"/>
          <a:ext cx="1938528"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790575</xdr:colOff>
          <xdr:row>5</xdr:row>
          <xdr:rowOff>180975</xdr:rowOff>
        </xdr:from>
        <xdr:to>
          <xdr:col>0</xdr:col>
          <xdr:colOff>6210300</xdr:colOff>
          <xdr:row>30</xdr:row>
          <xdr:rowOff>152400</xdr:rowOff>
        </xdr:to>
        <xdr:pic>
          <xdr:nvPicPr>
            <xdr:cNvPr id="2" name="Picture 1">
              <a:extLst>
                <a:ext uri="{FF2B5EF4-FFF2-40B4-BE49-F238E27FC236}">
                  <a16:creationId xmlns:a16="http://schemas.microsoft.com/office/drawing/2014/main" id="{E72B61FB-4465-4343-9C09-A4D324C16EA9}"/>
                </a:ext>
                <a:ext uri="{C183D7F6-B498-43B3-948B-1728B52AA6E4}">
                  <adec:decorative xmlns:adec="http://schemas.microsoft.com/office/drawing/2017/decorative" val="1"/>
                </a:ext>
              </a:extLst>
            </xdr:cNvPr>
            <xdr:cNvPicPr>
              <a:picLocks noChangeAspect="1" noChangeArrowheads="1"/>
              <a:extLst>
                <a:ext uri="{84589F7E-364E-4C9E-8A38-B11213B215E9}">
                  <a14:cameraTool cellRange="'Data Prep'!$M$42:$O$65" spid="_x0000_s20015"/>
                </a:ext>
              </a:extLst>
            </xdr:cNvPicPr>
          </xdr:nvPicPr>
          <xdr:blipFill>
            <a:blip xmlns:r="http://schemas.openxmlformats.org/officeDocument/2006/relationships" r:embed="rId1"/>
            <a:srcRect/>
            <a:stretch>
              <a:fillRect/>
            </a:stretch>
          </xdr:blipFill>
          <xdr:spPr bwMode="auto">
            <a:xfrm>
              <a:off x="790575" y="1057275"/>
              <a:ext cx="5419725" cy="473392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0</xdr:col>
      <xdr:colOff>2476500</xdr:colOff>
      <xdr:row>1</xdr:row>
      <xdr:rowOff>0</xdr:rowOff>
    </xdr:from>
    <xdr:to>
      <xdr:col>0</xdr:col>
      <xdr:colOff>4415028</xdr:colOff>
      <xdr:row>3</xdr:row>
      <xdr:rowOff>19050</xdr:rowOff>
    </xdr:to>
    <xdr:pic>
      <xdr:nvPicPr>
        <xdr:cNvPr id="3" name="Picture 2">
          <a:extLst>
            <a:ext uri="{FF2B5EF4-FFF2-40B4-BE49-F238E27FC236}">
              <a16:creationId xmlns:a16="http://schemas.microsoft.com/office/drawing/2014/main" id="{CE631A56-B071-4FED-AA7C-DC7FF87B49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0" y="57150"/>
          <a:ext cx="1938528"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2390775</xdr:colOff>
      <xdr:row>1</xdr:row>
      <xdr:rowOff>0</xdr:rowOff>
    </xdr:from>
    <xdr:to>
      <xdr:col>0</xdr:col>
      <xdr:colOff>4329303</xdr:colOff>
      <xdr:row>3</xdr:row>
      <xdr:rowOff>19050</xdr:rowOff>
    </xdr:to>
    <xdr:pic>
      <xdr:nvPicPr>
        <xdr:cNvPr id="2" name="Picture 1">
          <a:extLst>
            <a:ext uri="{FF2B5EF4-FFF2-40B4-BE49-F238E27FC236}">
              <a16:creationId xmlns:a16="http://schemas.microsoft.com/office/drawing/2014/main" id="{8332A88B-D26B-4010-98A9-54F78BB71E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57150"/>
          <a:ext cx="1938528"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57149</xdr:colOff>
      <xdr:row>15</xdr:row>
      <xdr:rowOff>46037</xdr:rowOff>
    </xdr:from>
    <xdr:to>
      <xdr:col>45</xdr:col>
      <xdr:colOff>1024</xdr:colOff>
      <xdr:row>30</xdr:row>
      <xdr:rowOff>31412</xdr:rowOff>
    </xdr:to>
    <xdr:graphicFrame macro="">
      <xdr:nvGraphicFramePr>
        <xdr:cNvPr id="2" name="Chart 1">
          <a:extLst>
            <a:ext uri="{FF2B5EF4-FFF2-40B4-BE49-F238E27FC236}">
              <a16:creationId xmlns:a16="http://schemas.microsoft.com/office/drawing/2014/main" id="{AA04F273-4C39-4607-9A6C-9BED13ABCC08}"/>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Katie Junkin" id="{CB4671F6-5329-4BA3-8696-79DB0CDD5C84}" userId="S::junkink@phsd.ca::a8a491a1-43f1-4862-9fb6-7499c1e52ef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32F57C-7C24-4439-B67A-FB6377287933}" name="DesignSpecs" displayName="DesignSpecs" ref="A1:H91" totalsRowShown="0">
  <autoFilter ref="A1:H91" xr:uid="{B532F57C-7C24-4439-B67A-FB6377287933}"/>
  <tableColumns count="8">
    <tableColumn id="7" xr3:uid="{AD3486DB-B103-4835-910E-60AD9ACA2EEF}" name="Tab"/>
    <tableColumn id="1" xr3:uid="{07B6F697-5929-400A-A919-327C2E1693CE}" name="Field"/>
    <tableColumn id="13" xr3:uid="{8494705A-EA70-4AC9-BBBB-643CF210B275}" name="Range" dataDxfId="271"/>
    <tableColumn id="4" xr3:uid="{1300E44F-30B0-4AF8-8D9B-051ECB3DEAA9}" name="Display Format"/>
    <tableColumn id="2" xr3:uid="{4011AC56-96DE-4748-9F03-14EFCA996D13}" name="Validation Rules" dataDxfId="270"/>
    <tableColumn id="16" xr3:uid="{156576DA-AAF4-4626-9681-C20583621C61}" name="In-cell dropdown?"/>
    <tableColumn id="3" xr3:uid="{9CA4ECB5-4754-493F-A59B-ED27096D42F2}" name="Validation Entry Message" dataDxfId="269"/>
    <tableColumn id="15" xr3:uid="{26DF5685-2A0B-4997-80CB-9CF5E0D5DF5E}" name="Error Message" dataDxfId="2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3667BE-722B-49B3-AF63-6098E6668250}" name="Formatting" displayName="Formatting" ref="A1:I30" totalsRowShown="0" headerRowDxfId="267" dataDxfId="266">
  <autoFilter ref="A1:I30" xr:uid="{F23667BE-722B-49B3-AF63-6098E6668250}"/>
  <sortState xmlns:xlrd2="http://schemas.microsoft.com/office/spreadsheetml/2017/richdata2" ref="B2:I19">
    <sortCondition ref="B1:B19"/>
  </sortState>
  <tableColumns count="9">
    <tableColumn id="6" xr3:uid="{3D89BD2D-1E49-442E-8A4D-E0F8AD1AF886}" name="Sheet Name" dataDxfId="265"/>
    <tableColumn id="1" xr3:uid="{86429B17-8D53-47CA-9A60-B2AF044E176D}" name="Order" dataDxfId="264"/>
    <tableColumn id="7" xr3:uid="{BC831D8D-1478-40B5-8A6E-A3F4780C3C49}" name="Description" dataDxfId="263"/>
    <tableColumn id="2" xr3:uid="{A9F47AFE-143A-4412-B0ED-4DEA20F2A7F8}" name="Rule" dataDxfId="262"/>
    <tableColumn id="3" xr3:uid="{405165DA-5873-4E7F-B572-43B9565ED2C5}" name="Font" dataDxfId="261"/>
    <tableColumn id="8" xr3:uid="{7C8CE6DF-36D0-4684-9865-F1E7512B210A}" name="Fill" dataDxfId="260"/>
    <tableColumn id="9" xr3:uid="{592F704D-93AA-47C2-BD18-D07CE7D36BA4}" name="Other" dataDxfId="259"/>
    <tableColumn id="4" xr3:uid="{1002833F-9A08-4A0D-BA0A-335EECA42BD4}" name="Range" dataDxfId="258"/>
    <tableColumn id="5" xr3:uid="{4962961D-94BE-447A-89DA-DBABE1F255DF}" name="Stop if True?" dataDxfId="25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050DE0E-DF26-4093-9E1C-080EE884E206}" name="Sex" displayName="Sex" ref="A1:A6" totalsRowShown="0">
  <autoFilter ref="A1:A6" xr:uid="{4050DE0E-DF26-4093-9E1C-080EE884E206}"/>
  <tableColumns count="1">
    <tableColumn id="1" xr3:uid="{17300DC8-C023-4E8E-B9C6-18AE6804A41A}" name="Sex"/>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1B2FEC5-0A9A-481C-8DA8-76E2AE4E1237}" name="ReasonforLL" displayName="ReasonforLL" ref="A8:A13" totalsRowShown="0">
  <autoFilter ref="A8:A13" xr:uid="{71B2FEC5-0A9A-481C-8DA8-76E2AE4E1237}"/>
  <tableColumns count="1">
    <tableColumn id="1" xr3:uid="{209B2B2B-BE58-43FF-92D2-2B138842B335}" name="Reason for L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9E30B8-6176-4E57-9CAC-E0C6DC6CC216}" name="Role" displayName="Role" ref="A16:A25" totalsRowShown="0">
  <autoFilter ref="A16:A25" xr:uid="{0F9E30B8-6176-4E57-9CAC-E0C6DC6CC216}"/>
  <tableColumns count="1">
    <tableColumn id="1" xr3:uid="{D10F772A-042A-47F1-A1CE-3AF303697C09}" name="Rol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68B848-C8BA-424D-843D-649EABC86DAA}" name="Result" displayName="Result" ref="A27:A31" totalsRowShown="0">
  <autoFilter ref="A27:A31" xr:uid="{FF68B848-C8BA-424D-843D-649EABC86DAA}"/>
  <tableColumns count="1">
    <tableColumn id="1" xr3:uid="{320FF614-2221-48A7-941B-E1DAAB9A2E36}" name="Resul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62D1216-41F1-47B3-B030-F658AA74EF23}" name="Agent" displayName="Agent" ref="C1:G15" totalsRowShown="0">
  <autoFilter ref="C1:G15" xr:uid="{E62D1216-41F1-47B3-B030-F658AA74EF23}"/>
  <tableColumns count="5">
    <tableColumn id="1" xr3:uid="{D36971B5-DDEE-49BF-8D3C-39091A6274A8}" name="Agent"/>
    <tableColumn id="2" xr3:uid="{BAD53862-CE57-43BD-B982-699DE780228B}" name="Type"/>
    <tableColumn id="3" xr3:uid="{7A988BFF-4E05-4156-9B7B-0180A02D319C}" name="LDW"/>
    <tableColumn id="4" xr3:uid="{455D46D8-49CB-4871-A214-BD55BF734626}" name="Day 0"/>
    <tableColumn id="5" xr3:uid="{1BFE342A-7096-4A5C-B44C-F9DD30BEA266}" name="Isolation Star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5A921CB-41C1-4CA9-B03D-1F489B72E47E}" name="Test" displayName="Test" ref="A33:A43" totalsRowShown="0">
  <autoFilter ref="A33:A43" xr:uid="{95A921CB-41C1-4CA9-B03D-1F489B72E47E}"/>
  <tableColumns count="1">
    <tableColumn id="1" xr3:uid="{EBACB6BF-0E85-46A2-8906-C199EEE05A0E}" name="Tes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12779A5-9212-411A-BE08-0F4F84F76653}" name="Aetiologic_Agent" displayName="Aetiologic_Agent" ref="I1:I13" totalsRowShown="0">
  <autoFilter ref="I1:I13" xr:uid="{D12779A5-9212-411A-BE08-0F4F84F76653}"/>
  <tableColumns count="1">
    <tableColumn id="1" xr3:uid="{B66550AC-F568-4837-9FD9-72C58088E2AB}" name="Aetiologic Agen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668C0B0-C640-47E9-9F81-423B3902A591}" name="INSTRUCTIONS_Line_List" displayName="INSTRUCTIONS_Line_List" ref="B6:B8" totalsRowShown="0" headerRowDxfId="256" dataDxfId="255" headerRowCellStyle="Hyperlink">
  <autoFilter ref="B6:B8" xr:uid="{8668C0B0-C640-47E9-9F81-423B3902A591}"/>
  <tableColumns count="1">
    <tableColumn id="1" xr3:uid="{9EE09DC5-A212-45AF-A79D-679A637D69A7}" name="Line List (click to open)" dataDxfId="25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EADF020-DBE8-4842-93F2-E81D13AE7BDD}" name="INSTRUCTIONS_Basic_Information" displayName="INSTRUCTIONS_Basic_Information" ref="B9:B10" totalsRowShown="0" headerRowDxfId="253" dataDxfId="252" headerRowCellStyle="Hyperlink">
  <autoFilter ref="B9:B10" xr:uid="{DEADF020-DBE8-4842-93F2-E81D13AE7BDD}"/>
  <tableColumns count="1">
    <tableColumn id="1" xr3:uid="{0996965E-A176-4774-BF69-D407A90F57A1}" name="Basic Information (click to open)" dataDxfId="25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37D4A3A-7E87-4EC0-A127-2EEAC201B0D4}" name="INSTRUCTIONS_How_To_Completion_Checklist" displayName="INSTRUCTIONS_How_To_Completion_Checklist" ref="B15:B16" totalsRowShown="0" headerRowDxfId="250" dataDxfId="249">
  <autoFilter ref="B15:B16" xr:uid="{037D4A3A-7E87-4EC0-A127-2EEAC201B0D4}"/>
  <tableColumns count="1">
    <tableColumn id="1" xr3:uid="{AA928A6E-038C-47F7-9FD9-46B018294323}" name="How to Use the Completion Checklist (this tab)" dataDxfId="24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48AE032-4D4C-415F-B8D6-C0ED5B0D5A87}" name="INSTRUCTIONS_Completion_Checklist" displayName="INSTRUCTIONS_Completion_Checklist" ref="B18:C28" totalsRowShown="0" headerRowDxfId="247">
  <autoFilter ref="B18:C28" xr:uid="{948AE032-4D4C-415F-B8D6-C0ED5B0D5A87}"/>
  <tableColumns count="2">
    <tableColumn id="1" xr3:uid="{AD138C95-073C-4902-A91A-B3154EC8C4FC}" name="Completion Checklist" dataDxfId="246"/>
    <tableColumn id="2" xr3:uid="{6EB94C80-24C3-42B0-9A01-54BFB756A86D}" name="Overview" dataDxfId="24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1AAAF93-FB7F-4936-932F-40CA5F48A552}" name="INSTRUCTIONS_Outbreak_Checklist" displayName="INSTRUCTIONS_Outbreak_Checklist" ref="B12:B13" totalsRowShown="0" headerRowDxfId="244" dataDxfId="243" headerRowCellStyle="Hyperlink">
  <autoFilter ref="B12:B13" xr:uid="{C1AAAF93-FB7F-4936-932F-40CA5F48A552}"/>
  <tableColumns count="1">
    <tableColumn id="1" xr3:uid="{27178A3E-3376-47F3-A325-275C24AAE4FB}" name="Outbreak Checklist (click to open)" dataDxfId="24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23F3817-BE3C-4A07-AEB9-40D3B05CDC4B}" name="INSTRUCTIONS_How_to_Print_the_Report" displayName="INSTRUCTIONS_How_to_Print_the_Report" ref="B33:B34" totalsRowShown="0" headerRowDxfId="241" dataDxfId="240">
  <autoFilter ref="B33:B34" xr:uid="{D23F3817-BE3C-4A07-AEB9-40D3B05CDC4B}"/>
  <tableColumns count="1">
    <tableColumn id="1" xr3:uid="{163C18E5-289E-4940-BB55-D064C3FAB1B0}" name="How to Print the Report" dataDxfId="239"/>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3E1E962-151B-4D6C-AEAE-2E8AF8E8F122}" name="INSTRUCTIONS_How_to_Print_a_Line_List" displayName="INSTRUCTIONS_How_to_Print_a_Line_List" ref="B30:B31" totalsRowShown="0" headerRowDxfId="238" dataDxfId="237">
  <autoFilter ref="B30:B31" xr:uid="{E3E1E962-151B-4D6C-AEAE-2E8AF8E8F122}"/>
  <tableColumns count="1">
    <tableColumn id="1" xr3:uid="{77191681-4E81-4E81-9029-BFE6D7664479}" name="How to Print a Line List" dataDxfId="23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026E51-9AF4-444D-8D13-9371DDB4655C}" name="CaseDefinition" displayName="CaseDefinition" ref="A2:A3" totalsRowShown="0" dataDxfId="235">
  <autoFilter ref="A2:A3" xr:uid="{F2026E51-9AF4-444D-8D13-9371DDB4655C}"/>
  <tableColumns count="1">
    <tableColumn id="1" xr3:uid="{EEFDD02B-F62D-43F6-814E-325D44A0ABB1}" name="Case Definition" dataDxfId="23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D94E13-93DF-4097-8FC3-0B35FBF9C569}" name="OutbreakManagementTeam" displayName="OutbreakManagementTeam" ref="B2:B3" totalsRowShown="0" dataDxfId="233">
  <autoFilter ref="B2:B3" xr:uid="{EFD94E13-93DF-4097-8FC3-0B35FBF9C569}"/>
  <tableColumns count="1">
    <tableColumn id="1" xr3:uid="{480B9C27-6496-4456-A281-AAA3D7A94543}" name="Outbreak Management Team" dataDxfId="23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CC2F6D8-EF6E-49E2-8683-43A0018ED085}" name="Facility" displayName="Facility" ref="A24:E25" totalsRowShown="0">
  <autoFilter ref="A24:E25" xr:uid="{ECC2F6D8-EF6E-49E2-8683-43A0018ED085}"/>
  <tableColumns count="5">
    <tableColumn id="1" xr3:uid="{8635801C-B684-442E-A4D1-96DBDC63D1B2}" name="Facility"/>
    <tableColumn id="2" xr3:uid="{F8FA4E42-1D69-4B2A-A881-1355E81A590A}" name="Residents (Vaccinated)" dataDxfId="231"/>
    <tableColumn id="3" xr3:uid="{76C9F7B6-BCB3-4CBE-AB85-91A0F7898055}" name="Residents (Not vaccinated or unknown)" dataDxfId="230"/>
    <tableColumn id="4" xr3:uid="{4E7E70B1-C101-4A5B-8710-9E87E43D85DC}" name="Staff (Vaccinated)" dataDxfId="229"/>
    <tableColumn id="5" xr3:uid="{4E2CF4DB-669E-4518-AEFC-75A73FC90D7E}" name="Staff (Not vaccinated / unknown)" dataDxfId="22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C01FA5-E018-4F17-B496-F019C612A623}" name="SpecificArea" displayName="SpecificArea" ref="A28:E51" totalsRowShown="0" dataDxfId="227">
  <autoFilter ref="A28:E51" xr:uid="{ABC01FA5-E018-4F17-B496-F019C612A623}"/>
  <tableColumns count="5">
    <tableColumn id="1" xr3:uid="{162CFA9C-4B74-42D1-9ABE-537A74157E06}" name="Specific Area" dataDxfId="226"/>
    <tableColumn id="2" xr3:uid="{5BB9F4B2-C92B-4C30-99CB-3EA5850B6900}" name="Residents (Vaccinated)" dataDxfId="225"/>
    <tableColumn id="3" xr3:uid="{E7575013-A68C-49D6-8BF9-59BA6EB7D1F9}" name="Residents (Not vaccinated or unknown)" dataDxfId="224"/>
    <tableColumn id="4" xr3:uid="{D3DF3B59-7474-4FC9-8EC8-4D7DE93DDBFD}" name="Staff (Vaccinated)" dataDxfId="223"/>
    <tableColumn id="5" xr3:uid="{25EB9C73-F8D4-48C5-9CD3-A6C614058566}" name="Staff (Not vaccinated / unknown)" dataDxfId="22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570A88-DD9F-4F0B-8B2A-6CE98A813E27}" name="LL" displayName="LL" ref="A4:BG404" totalsRowShown="0" headerRowDxfId="221" headerRowBorderDxfId="220">
  <autoFilter ref="A4:BG404" xr:uid="{C6570A88-DD9F-4F0B-8B2A-6CE98A813E27}"/>
  <tableColumns count="59">
    <tableColumn id="1" xr3:uid="{FB50EC21-802A-4D7B-8622-33D8092BA454}" name="Line #" dataDxfId="219"/>
    <tableColumn id="2" xr3:uid="{57A94A2E-0477-4509-8A9E-1CB464A8C98F}" name="Name" dataDxfId="218"/>
    <tableColumn id="3" xr3:uid="{FCA89082-A26D-44CB-9E1C-6D7926E3AF8A}" name="Date of Birth" dataDxfId="217"/>
    <tableColumn id="4" xr3:uid="{1972BB74-10FF-4FBD-ADCD-DA4600999E69}" name="Sex" dataDxfId="216"/>
    <tableColumn id="6" xr3:uid="{89158F48-4FA4-493B-A8D1-2515FDFB94EE}" name="Reason for Line Listing" dataDxfId="215"/>
    <tableColumn id="7" xr3:uid="{45C007FE-507C-48A8-BE09-D2D5A0A3EADB}" name="Linked to Cases (LL #s)" dataDxfId="214"/>
    <tableColumn id="10" xr3:uid="{8F526B16-EC69-40C3-8B81-9CE808B05504}" name="Role" dataDxfId="213"/>
    <tableColumn id="12" xr3:uid="{0EE23CAD-748B-43C0-8A15-F083B5F047BB}" name="Area" dataDxfId="212"/>
    <tableColumn id="14" xr3:uid="{71D7B661-C2F4-4ED4-BEA2-8AA0D1890B00}" name="Room" dataDxfId="211"/>
    <tableColumn id="15" xr3:uid="{60812F50-4AB3-4B3B-858E-CD0DE98D88D4}" name="Date Reported to Public Health" dataDxfId="210"/>
    <tableColumn id="18" xr3:uid="{D7262299-38DD-44B8-8618-10795F061D83}" name="Isolation Start Date or Last Day Worked" dataDxfId="209"/>
    <tableColumn id="30" xr3:uid="{D58BEA73-6CD3-4839-806B-7DD902D8A4F7}" name="Asymptomatic?" dataDxfId="208"/>
    <tableColumn id="31" xr3:uid="{D85D0D27-985C-4E97-A7D1-FFB7FEC01739}" name="Sx Onset Date" dataDxfId="207"/>
    <tableColumn id="49" xr3:uid="{662C7B48-2448-431E-A8CC-FA0502120CC2}" name="Sx Resolved Date" dataDxfId="206"/>
    <tableColumn id="29" xr3:uid="{6656817B-380A-4C03-9ABE-8DB691023B78}" name="Isolation End Date" dataDxfId="205"/>
    <tableColumn id="9" xr3:uid="{2EED6538-6B9B-44D5-BD2D-2B1A4751A116}" name="Client able to mask as per Public Health after isolation?" dataDxfId="204"/>
    <tableColumn id="32" xr3:uid="{4D92C266-2A65-40E1-A4AF-8528DD51D2E3}" name="Sore Throat / Hoarseness (Specify)" dataDxfId="203"/>
    <tableColumn id="33" xr3:uid="{E5850E92-2E92-41D9-9022-82211B711A07}" name="Cough (Dry, Productive, Worsening)" dataDxfId="202"/>
    <tableColumn id="34" xr3:uid="{7416E665-B4CC-4CCB-9939-86483313F155}" name="Nasal Congestion (Stuffy Nose)" dataDxfId="201"/>
    <tableColumn id="35" xr3:uid="{04FF826A-84C1-4DDE-8406-3C5C1D3F5507}" name="Runny Nose / Sneezing" dataDxfId="200"/>
    <tableColumn id="36" xr3:uid="{C0CA99A7-C1AB-4254-9467-8E6AC5EA76C2}" name="Decrease / Loss of Smell or Taste" dataDxfId="199"/>
    <tableColumn id="37" xr3:uid="{03E800D3-70F3-4607-9610-92282C28F505}" name="Abnormal Temperature / Fever" dataDxfId="198"/>
    <tableColumn id="38" xr3:uid="{62BFF91A-C118-4ACF-9576-709A6888E8AB}" name="Headache" dataDxfId="197"/>
    <tableColumn id="39" xr3:uid="{C33147E4-1FE0-4112-8826-1204D27D7082}" name="Chills" dataDxfId="196"/>
    <tableColumn id="40" xr3:uid="{437D0AAC-0A24-4132-84BD-1FAAA007247E}" name="Malaise" dataDxfId="195"/>
    <tableColumn id="41" xr3:uid="{5DD107FD-AA73-41FF-BEDF-DAD8564EDF26}" name="Myalgia (Sore Muscles)" dataDxfId="194"/>
    <tableColumn id="42" xr3:uid="{9C551D35-3618-4F58-9DFE-DF99BDEAB609}" name="Nausea" dataDxfId="193"/>
    <tableColumn id="43" xr3:uid="{9C49A501-E1C4-45B0-A260-155772BE745F}" name="Decrease / Loss of Appetite" dataDxfId="192"/>
    <tableColumn id="44" xr3:uid="{E45AB994-FA7D-44DA-8BB1-C12706D56DD2}" name="Diarrhea (Watery, Bloody, Greasy)" dataDxfId="191"/>
    <tableColumn id="45" xr3:uid="{9829B03B-1964-4A17-8498-284170E2692B}" name="Vomiting" dataDxfId="190"/>
    <tableColumn id="46" xr3:uid="{044B9718-2DD0-48FA-B345-265D4E44B24E}" name="Abdominal Pain / Tenderness" dataDxfId="189"/>
    <tableColumn id="47" xr3:uid="{961134C6-082C-44B4-A3E2-D4CAEA7FE0F5}" name="Dehydration" dataDxfId="188"/>
    <tableColumn id="48" xr3:uid="{99F68123-D0C8-4E76-AAF2-B17269EAB56C}" name="Other Symptoms (List)" dataDxfId="187"/>
    <tableColumn id="57" xr3:uid="{02919C32-7432-4F61-9D9E-097B792F7990}" name="XRAY Confirmed Pneumonia?" dataDxfId="186"/>
    <tableColumn id="20" xr3:uid="{7A8417AE-FED2-4DBA-BAC3-9F7470B3D196}" name="Lab-confirmed?" dataDxfId="185"/>
    <tableColumn id="62" xr3:uid="{3F958E90-C3FF-497F-8888-7A1C08C1B9F5}" name="Type of Test" dataDxfId="184"/>
    <tableColumn id="21" xr3:uid="{A5471319-19AD-432C-A088-EDE66DAA5A8E}" name="Test Date" dataDxfId="183"/>
    <tableColumn id="65" xr3:uid="{A042BE49-505A-490D-A6B3-0391A811AC79}" name="Causative Organism Identified" dataDxfId="182"/>
    <tableColumn id="13" xr3:uid="{23D89ACB-416A-453F-8EC7-C61B2475526A}" name="Specify Organism" dataDxfId="181"/>
    <tableColumn id="68" xr3:uid="{C3AF9C8A-0967-4318-A35E-129DF4B420EB}" name="Type of Test 2" dataDxfId="180"/>
    <tableColumn id="28" xr3:uid="{A7D1FFA3-CB52-44AD-950E-D44C7AB65CCA}" name="Test Date 2" dataDxfId="179"/>
    <tableColumn id="64" xr3:uid="{39219427-0DC9-4DE1-8F7F-2DB5198D66CC}" name="Causative Organism  Identifed 2" dataDxfId="178"/>
    <tableColumn id="11" xr3:uid="{C0CC8C39-8E30-4A49-9915-AEAF2419D657}" name="Specify Organism 2" dataDxfId="177"/>
    <tableColumn id="52" xr3:uid="{D9EDBFD1-366F-40BA-923B-BB1D6E012D03}" name="Complications (List)" dataDxfId="176"/>
    <tableColumn id="5" xr3:uid="{5DFF040F-6F8D-49C8-9E05-EA0E2D34EE62}" name="Vaccinated - COVID" dataDxfId="175"/>
    <tableColumn id="8" xr3:uid="{5570D856-88F3-4FBD-A531-8D83630CB343}" name="Vaccinated - Influenza" dataDxfId="174"/>
    <tableColumn id="16" xr3:uid="{B0ED5029-EA33-4835-B47E-BCE78A7C0D1F}" name="Vaccinated - RSV" dataDxfId="173"/>
    <tableColumn id="60" xr3:uid="{C62A2FD5-4B9A-433D-8941-3D840E6BBD66}" name="Antivirals Administered?" dataDxfId="172"/>
    <tableColumn id="53" xr3:uid="{98C0A019-D046-4F59-A4E9-F4DFDBEF0282}" name="Hospital Admission Date" dataDxfId="171"/>
    <tableColumn id="54" xr3:uid="{13B375E4-7233-4A16-939D-29565F99AEF5}" name="ICU Admission Date" dataDxfId="170"/>
    <tableColumn id="55" xr3:uid="{69DA0990-9AC2-4774-ABAD-F5CBE602E1E2}" name="Hospital Discharge Date" dataDxfId="169"/>
    <tableColumn id="56" xr3:uid="{9903A7ED-5E16-4D13-8007-CDB66CD8DB32}" name="Death Date" dataDxfId="168"/>
    <tableColumn id="58" xr3:uid="{FE945B94-4E12-47C7-B085-F04EC8639EFE}" name="Notes" dataDxfId="167"/>
    <tableColumn id="59" xr3:uid="{6385F250-448F-4A95-84D4-F026015BBF62}" name="Age" dataDxfId="166">
      <calculatedColumnFormula>IF(#REF!&lt;&gt;0,IF(LL[[#This Row],[Date of Birth]]&lt;&gt;0,YEAR(#REF!-LL[[#This Row],[Date of Birth]])-1900,""),"")</calculatedColumnFormula>
    </tableColumn>
    <tableColumn id="23" xr3:uid="{566B2EF3-8431-4BA5-83D0-74C9CEFB58D9}" name="Onset" dataDxfId="165">
      <calculatedColumnFormula>IF(LL[[#This Row],[Sx Onset Date]]&gt;0,LL[[#This Row],[Sx Onset Date]],"")</calculatedColumnFormula>
    </tableColumn>
    <tableColumn id="22" xr3:uid="{380EB832-1740-4964-A790-04E89285D913}" name="Test1" dataDxfId="164">
      <calculatedColumnFormula>IF(LL[[#This Row],[Lab-confirmed?]]="Y",LL[[#This Row],[Test Date]],"")</calculatedColumnFormula>
    </tableColumn>
    <tableColumn id="19" xr3:uid="{153F8A45-0F3B-4409-8883-841FBA507201}" name="Test2" dataDxfId="163">
      <calculatedColumnFormula>IF(LL[[#This Row],[Lab-confirmed?]]="Y",LL[[#This Row],[Test Date 2]],"")</calculatedColumnFormula>
    </tableColumn>
    <tableColumn id="24" xr3:uid="{3E9DD908-B534-4421-B7AF-3B080BDB7F70}" name="Reported" dataDxfId="162">
      <calculatedColumnFormula>IF(LL[[#This Row],[Date Reported to Public Health]]&gt;0,LL[[#This Row],[Date Reported to Public Health]],"")</calculatedColumnFormula>
    </tableColumn>
    <tableColumn id="17" xr3:uid="{B82D12FD-81DD-4B5C-BFDB-836B87CAA0A1}" name="Day 0" dataDxfId="161">
      <calculatedColumnFormula>IF(_xlfn.MINIFS(BC5:BF5,BC5:BF5,"&gt;"&amp;0)&gt;0,_xlfn.MINIFS(BC5:BF5,BC5:BF5,"&gt;"&amp;0),"")</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29EDB19-1813-44D8-B642-41D907A9FBE4}" name="Surveillance" displayName="Surveillance" ref="A3:D11" totalsRowShown="0" headerRowDxfId="160" dataDxfId="159" tableBorderDxfId="158">
  <autoFilter ref="A3:D11" xr:uid="{D29EDB19-1813-44D8-B642-41D907A9FBE4}"/>
  <tableColumns count="4">
    <tableColumn id="2" xr3:uid="{EB0F20B3-6F4B-4FCB-B8B6-E912B39CF540}" name="Surveillance and reporting" dataDxfId="157"/>
    <tableColumn id="3" xr3:uid="{E7A74E2C-8AA5-409E-8D9A-318948ED3BC8}" name="*After hours or weekends (either Resp or Enteric): 705-688-4366, page the on-call staff to report the suspected OB" dataDxfId="156"/>
    <tableColumn id="1" xr3:uid="{26DC1A9B-EA0E-486C-87D2-5EB8DA4282BE}" name="Public Health Staff Observation" dataDxfId="155"/>
    <tableColumn id="4" xr3:uid="{560B3A7E-12BA-4836-9ACB-A8AB42A80CD2}" name="Comments" dataDxfId="15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7F3DB5-91E6-4376-8391-8AD3E2FDE33E}" name="Collection" displayName="Collection" ref="A12:D17" totalsRowShown="0" headerRowDxfId="153" dataDxfId="152" tableBorderDxfId="151">
  <autoFilter ref="A12:D17" xr:uid="{017F3DB5-91E6-4376-8391-8AD3E2FDE33E}"/>
  <tableColumns count="4">
    <tableColumn id="2" xr3:uid="{4CADEEDB-E456-4C4A-868C-229234E4E4BB}" name="Outbreak Specimen Collection" dataDxfId="150"/>
    <tableColumn id="3" xr3:uid="{D38A5951-2AE3-4895-A4F6-DD517307191F}" name="Facility Observation" dataDxfId="149"/>
    <tableColumn id="1" xr3:uid="{92C97F84-D65B-4841-8C54-B14DD6821B81}" name="Public Health Staff Observation" dataDxfId="148"/>
    <tableColumn id="4" xr3:uid="{05439CD6-4FF6-413E-B85C-722FF20EF2A5}" name="Comments" dataDxfId="14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4C8AB09-27F9-4A06-A5EE-0158A006CE5C}" name="Notification" displayName="Notification" ref="A18:D26" totalsRowShown="0" headerRowDxfId="146" dataDxfId="144" headerRowBorderDxfId="145" tableBorderDxfId="143" totalsRowBorderDxfId="142">
  <autoFilter ref="A18:D26" xr:uid="{44C8AB09-27F9-4A06-A5EE-0158A006CE5C}"/>
  <tableColumns count="4">
    <tableColumn id="1" xr3:uid="{A63C30CE-0DEB-400D-93EB-A4E2500DE17B}" name="Notification" dataDxfId="141"/>
    <tableColumn id="2" xr3:uid="{CFFC6D65-EB6D-4949-B8FD-0232D8E6022E}" name="Facility Observation" dataDxfId="140"/>
    <tableColumn id="3" xr3:uid="{E00D481B-16FB-4670-805E-F03FAE5C741E}" name="Public Health Staff Observation" dataDxfId="139"/>
    <tableColumn id="4" xr3:uid="{02823386-D732-4506-9E84-55F63DFF9D04}" name="Comments" dataDxfId="13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6E5987-E9B8-4AC7-82D5-73100F9E3BB1}" name="Visitors" displayName="Visitors" ref="A39:D44" totalsRowShown="0" headerRowDxfId="137" dataDxfId="135" headerRowBorderDxfId="136" tableBorderDxfId="134" totalsRowBorderDxfId="133">
  <autoFilter ref="A39:D44" xr:uid="{206E5987-E9B8-4AC7-82D5-73100F9E3BB1}"/>
  <tableColumns count="4">
    <tableColumn id="1" xr3:uid="{39D9A53A-9F22-409B-95EA-78B9DA7B0882}" name="Visitors and Others Entering the Facility" dataDxfId="132"/>
    <tableColumn id="2" xr3:uid="{53D885F4-C699-4223-9388-C48DAD442841}" name="Facility Observation" dataDxfId="131"/>
    <tableColumn id="3" xr3:uid="{577ED186-342F-4C4F-9DBF-EA09D338F0DE}" name="Public Health Staff Observation" dataDxfId="130"/>
    <tableColumn id="4" xr3:uid="{6B033999-6886-4C70-8B5D-5E462E0059C7}" name="Comments" dataDxfId="129"/>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A0AD4BC-24FE-443F-B3AE-06E10797ADB0}" name="Precautions" displayName="Precautions" ref="A63:D72" totalsRowShown="0" headerRowDxfId="128" dataDxfId="126" headerRowBorderDxfId="127" tableBorderDxfId="125" totalsRowBorderDxfId="124">
  <autoFilter ref="A63:D72" xr:uid="{1A0AD4BC-24FE-443F-B3AE-06E10797ADB0}"/>
  <tableColumns count="4">
    <tableColumn id="1" xr3:uid="{4BD7CACF-A832-4A30-A2E0-8EDE62C0CE53}" name="Droplet/Contact Precautions and Personal Protective Equipment" dataDxfId="123"/>
    <tableColumn id="2" xr3:uid="{75B454F6-4BB9-43E6-B47D-CC6D823454E4}" name="Facility Observation" dataDxfId="122"/>
    <tableColumn id="3" xr3:uid="{B3644D8F-6671-4A49-9598-CD4F6E254C6F}" name="Public Health Staff Observation" dataDxfId="121"/>
    <tableColumn id="4" xr3:uid="{BD53D1A9-1A5B-43CA-9DFB-9B68C846FB53}" name="Comments" dataDxfId="12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F5CEF2B-8410-49AF-874A-9040D6165B50}" name="Staff" displayName="Staff" ref="A73:D79" totalsRowShown="0" headerRowDxfId="119" dataDxfId="117" headerRowBorderDxfId="118" tableBorderDxfId="116" totalsRowBorderDxfId="115">
  <autoFilter ref="A73:D79" xr:uid="{4F5CEF2B-8410-49AF-874A-9040D6165B50}"/>
  <tableColumns count="4">
    <tableColumn id="1" xr3:uid="{5B15F126-3B2A-4B54-A3B3-D7D18FCCB7C9}" name="Staff/Volunteers/Students" dataDxfId="114"/>
    <tableColumn id="2" xr3:uid="{4FF17963-0D6B-4E80-85DE-C69520B0169B}" name="Facility Observation" dataDxfId="113"/>
    <tableColumn id="3" xr3:uid="{0284BDD4-93AB-4EED-B07B-EE5C792D4172}" name="Public Health Staff Observation" dataDxfId="112"/>
    <tableColumn id="4" xr3:uid="{E8C516D5-2724-4A48-A214-F6EE1D98937A}" name="Comments" dataDxfId="111"/>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BA797D-493C-4CD9-A99D-140827B34436}" name="Cleaning" displayName="Cleaning" ref="A80:D88" totalsRowShown="0" headerRowDxfId="110" dataDxfId="108" headerRowBorderDxfId="109" tableBorderDxfId="107" totalsRowBorderDxfId="106">
  <autoFilter ref="A80:D88" xr:uid="{73BA797D-493C-4CD9-A99D-140827B34436}"/>
  <tableColumns count="4">
    <tableColumn id="1" xr3:uid="{EE7D6C69-13CB-4B6C-B6AD-7B94A6CF3A14}" name="Environmental Cleaning" dataDxfId="105"/>
    <tableColumn id="2" xr3:uid="{5706EFBE-4FC6-4427-A480-D408A387AD31}" name="Facility Observation" dataDxfId="104"/>
    <tableColumn id="3" xr3:uid="{7D83E516-D536-4107-95BA-428494B68B0C}" name="Public Health Staff Observation" dataDxfId="103"/>
    <tableColumn id="4" xr3:uid="{514E487B-ECE8-4DF9-AACE-6578D9698318}" name="Comments" dataDxfId="10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6F30BE5-3380-4D51-B1B4-D7FBBBC66E77}" name="Antivirals" displayName="Antivirals" ref="A89:D93" totalsRowShown="0" headerRowDxfId="101" dataDxfId="99" headerRowBorderDxfId="100" tableBorderDxfId="98" totalsRowBorderDxfId="97">
  <autoFilter ref="A89:D93" xr:uid="{86F30BE5-3380-4D51-B1B4-D7FBBBC66E77}"/>
  <tableColumns count="4">
    <tableColumn id="1" xr3:uid="{8B7119BD-6063-4FE2-9C65-DBDC97200C11}" name="Antivirals (Influenza Outbreaks Only)" dataDxfId="96"/>
    <tableColumn id="2" xr3:uid="{0894DA61-C678-4DA6-B819-A1FB45D6EF25}" name="Facility Observation" dataDxfId="95"/>
    <tableColumn id="3" xr3:uid="{CD2756DA-6CC7-45BF-9413-D43957B694E6}" name="Public Health Staff Observation" dataDxfId="94"/>
    <tableColumn id="4" xr3:uid="{597BE76A-8201-48FD-9946-CA4549A85DC4}" name="Comments" dataDxfId="93"/>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C1EF1E-227E-454B-B94A-019D24A57F37}" name="Declaration" displayName="Declaration" ref="A99:D102" totalsRowShown="0" headerRowDxfId="92" dataDxfId="90" headerRowBorderDxfId="91" tableBorderDxfId="89" totalsRowBorderDxfId="88">
  <autoFilter ref="A99:D102" xr:uid="{72C1EF1E-227E-454B-B94A-019D24A57F37}"/>
  <tableColumns count="4">
    <tableColumn id="1" xr3:uid="{29C7D479-CD85-4E2B-A2EF-579AA77C6ADA}" name="Declaring the Outbreak Over" dataDxfId="87"/>
    <tableColumn id="2" xr3:uid="{83EAB1BD-1D93-4761-B7DF-DBF1DB498B3F}" name="Facility Observation" dataDxfId="86"/>
    <tableColumn id="3" xr3:uid="{45D21BAA-10E3-4D67-BF02-A3A5DD7E40D3}" name="Public Health Staff Observation" dataDxfId="85"/>
    <tableColumn id="4" xr3:uid="{9E664AD4-64B9-4520-A678-BE306A1A7588}" name="Comments" dataDxfId="84"/>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8B3AA60-CFB0-4545-B228-7978975C2AB9}" name="Movement" displayName="Movement" ref="A45:D62" totalsRowShown="0" headerRowDxfId="83" dataDxfId="81" headerRowBorderDxfId="82" tableBorderDxfId="80" totalsRowBorderDxfId="79">
  <autoFilter ref="A45:D62" xr:uid="{38B3AA60-CFB0-4545-B228-7978975C2AB9}"/>
  <tableColumns count="4">
    <tableColumn id="1" xr3:uid="{39A55552-6CAC-4022-AC46-A869D7DCD51A}" name="Resident/Patient Movement" dataDxfId="78"/>
    <tableColumn id="2" xr3:uid="{89A97E6C-5574-4707-987D-E855DF0C99B1}" name="Facility Observation" dataDxfId="77"/>
    <tableColumn id="3" xr3:uid="{C0AAFB28-0F47-4C29-AEFC-22BA5AB1D460}" name="Public Health Staff Observation" dataDxfId="76"/>
    <tableColumn id="4" xr3:uid="{811843C7-15DF-4D7D-8774-A14601FE8DD0}" name="Comments" dataDxfId="75"/>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249CD3A-9E03-4D1F-98ED-A01E2670F0A0}" name="Antivirals_COVID" displayName="Antivirals_COVID" ref="A94:D95" totalsRowShown="0" headerRowDxfId="74" tableBorderDxfId="73">
  <autoFilter ref="A94:D95" xr:uid="{8249CD3A-9E03-4D1F-98ED-A01E2670F0A0}"/>
  <tableColumns count="4">
    <tableColumn id="1" xr3:uid="{128324AD-80D9-4B55-B088-D2897229AD56}" name="Antivirals (COVID-19 Only)" dataDxfId="72"/>
    <tableColumn id="2" xr3:uid="{7B3FB79D-CD32-4E6B-8489-D948B8CBA467}" name="Facility Observation" dataDxfId="71"/>
    <tableColumn id="3" xr3:uid="{A43C2AB7-6BA2-4008-A1DB-205B78295D8E}" name="Public Health Staff Observation" dataDxfId="70"/>
    <tableColumn id="4" xr3:uid="{C76F26AD-2DA2-4376-9C9A-754E859C21C8}" name="Comments" dataDxfId="6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74E1495-0875-4B4E-B4A3-4889982C3C60}" name="Antivirals_Mixed" displayName="Antivirals_Mixed" ref="A96:D98" totalsRowShown="0" headerRowDxfId="68" tableBorderDxfId="67">
  <autoFilter ref="A96:D98" xr:uid="{E74E1495-0875-4B4E-B4A3-4889982C3C60}"/>
  <tableColumns count="4">
    <tableColumn id="1" xr3:uid="{0A9FFD96-BC05-4798-8ACF-FB7ADEA574BD}" name="Antivirals (Mixed Outbreaks with COVID-19 and Influenza)" dataDxfId="66"/>
    <tableColumn id="2" xr3:uid="{725EA649-03EF-4B20-834C-FE5350021DD6}" name="Facility Observation" dataDxfId="65"/>
    <tableColumn id="3" xr3:uid="{8837B32F-9B43-4EA5-8A2F-F8E005E83392}" name="Public Health Staff Observation" dataDxfId="64"/>
    <tableColumn id="4" xr3:uid="{2D53EFD0-C7ED-40EA-B17E-F400123D4E15}" name="Comments" dataDxfId="63"/>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CB73AA2-6765-464A-9379-50AA824CF247}" name="Table17" displayName="Table17" ref="A27:D35" totalsRowShown="0" headerRowDxfId="62" tableBorderDxfId="61">
  <autoFilter ref="A27:D35" xr:uid="{7CB73AA2-6765-464A-9379-50AA824CF247}"/>
  <tableColumns count="4">
    <tableColumn id="1" xr3:uid="{7608391E-5D77-40EB-A09D-4940ADB2352E}" name="Hand Hygiene" dataDxfId="60"/>
    <tableColumn id="2" xr3:uid="{12A1E247-A5C1-41BF-8603-B8792B067502}" name="Facility Observation" dataDxfId="59"/>
    <tableColumn id="3" xr3:uid="{EDA15E98-5F94-471F-9BF6-1BD77C2C6D80}" name="Public Health Staff Observation" dataDxfId="58"/>
    <tableColumn id="4" xr3:uid="{A5619397-9774-4CEF-9A5E-CC82BCFEAFEE}" name="Comments" dataDxfId="57"/>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2E1FBA1-4309-4AA2-8F53-0BB8FCA5812C}" name="Table36" displayName="Table36" ref="A36:D38" totalsRowShown="0" headerRowDxfId="56" headerRowBorderDxfId="55" tableBorderDxfId="54">
  <autoFilter ref="A36:D38" xr:uid="{62E1FBA1-4309-4AA2-8F53-0BB8FCA5812C}"/>
  <tableColumns count="4">
    <tableColumn id="1" xr3:uid="{C4B2F0B5-5326-4DA7-9836-95B32A2637F9}" name="Activities" dataDxfId="53"/>
    <tableColumn id="2" xr3:uid="{12CBB864-D304-47F4-A63A-76BB15F30FD8}" name="Facility Observation" dataDxfId="52"/>
    <tableColumn id="3" xr3:uid="{A52C4888-A87D-4C8A-87B7-D8F678580AAF}" name="Public Health Staff Observation" dataDxfId="51"/>
    <tableColumn id="4" xr3:uid="{879A0160-4AA5-4CCD-A37F-D64AB5A46F0C}" name="Comments" dataDxfId="50"/>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C7CAADC-27CF-4614-89B7-5837373B44FC}" name="Symptoms" displayName="Symptoms" ref="M3:AA20" totalsRowShown="0" headerRowDxfId="49">
  <autoFilter ref="M3:AA20" xr:uid="{AC7CAADC-27CF-4614-89B7-5837373B44FC}"/>
  <tableColumns count="15">
    <tableColumn id="1" xr3:uid="{9836224F-89C7-4338-B4C1-0322B11454EF}" name="Symptom" dataDxfId="48"/>
    <tableColumn id="2" xr3:uid="{C4726859-F74E-41FF-BBCD-633FD35CAAB6}" name="Total"/>
    <tableColumn id="3" xr3:uid="{50D224BA-B5DE-4427-ABA5-49DA3A780F01}" name="Male"/>
    <tableColumn id="4" xr3:uid="{0E62ABB2-CAFB-423F-82CB-928B8F596F9D}" name="Female"/>
    <tableColumn id="5" xr3:uid="{F4785328-37B7-45FD-84CC-2C2B55CE46B2}" name="Other/Unspecified"/>
    <tableColumn id="6" xr3:uid="{FF12AE6B-5E34-490D-8966-C1FD6AD133B8}" name="% Total"/>
    <tableColumn id="7" xr3:uid="{2E42E52D-F8CE-46CC-B215-BAFCB320E22B}" name="% Male"/>
    <tableColumn id="8" xr3:uid="{5109A263-163C-4566-9EF0-A55F9E0A3353}" name="% Female"/>
    <tableColumn id="9" xr3:uid="{35F463CC-D2CE-4FAC-83F0-B35F8FE90A0D}" name="Label Total"/>
    <tableColumn id="10" xr3:uid="{C9757DBE-11FC-45C8-95B6-EB86CB3EC512}" name="Label Male"/>
    <tableColumn id="11" xr3:uid="{FC0BCD5E-BC0D-4B2B-9B6C-BB857BA6E8FF}" name="Label Female"/>
    <tableColumn id="12" xr3:uid="{A51235ED-EF40-49B4-BFE9-0AD663D96E67}" name="List Order"/>
    <tableColumn id="13" xr3:uid="{9EC9F103-F077-4286-A407-F0867538EEEE}" name="Rank Order" dataDxfId="47">
      <calculatedColumnFormula>RANK(Symptoms[[#This Row],[Total]],Symptoms[Total],0)</calculatedColumnFormula>
    </tableColumn>
    <tableColumn id="14" xr3:uid="{F92BDABF-0E4C-40C2-B389-EE42DACE9805}" name="Practical Rank" dataDxfId="46">
      <calculatedColumnFormula>Symptoms[[#This Row],[Rank Order]]+COUNTIF(Symptoms[Rank Order],Symptoms[[#This Row],[Rank Order]])-COUNTIF(Y$4:Y4,Symptoms[[#This Row],[Rank Order]])</calculatedColumnFormula>
    </tableColumn>
    <tableColumn id="15" xr3:uid="{147829CE-7C86-4E89-87F1-CC1C648CEE8A}" name="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4953"/>
      </a:dk2>
      <a:lt2>
        <a:srgbClr val="E7E6E6"/>
      </a:lt2>
      <a:accent1>
        <a:srgbClr val="00747A"/>
      </a:accent1>
      <a:accent2>
        <a:srgbClr val="C90062"/>
      </a:accent2>
      <a:accent3>
        <a:srgbClr val="8FDFE2"/>
      </a:accent3>
      <a:accent4>
        <a:srgbClr val="72CE9B"/>
      </a:accent4>
      <a:accent5>
        <a:srgbClr val="70AD47"/>
      </a:accent5>
      <a:accent6>
        <a:srgbClr val="99C525"/>
      </a:accent6>
      <a:hlink>
        <a:srgbClr val="4C6212"/>
      </a:hlink>
      <a:folHlink>
        <a:srgbClr val="99C52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3" dT="2025-04-04T20:10:27.41" personId="{CB4671F6-5329-4BA3-8696-79DB0CDD5C84}" id="{200707AB-6382-490B-95D8-FEDB6883DB2F}">
    <text>Same?</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table" Target="../tables/table1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drawing" Target="../drawings/drawing2.xml"/><Relationship Id="rId5" Type="http://schemas.openxmlformats.org/officeDocument/2006/relationships/table" Target="../tables/table20.xml"/><Relationship Id="rId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18" Type="http://schemas.openxmlformats.org/officeDocument/2006/relationships/table" Target="../tables/table32.xml"/><Relationship Id="rId3" Type="http://schemas.openxmlformats.org/officeDocument/2006/relationships/hyperlink" Target="https://www.health.gov.on.ca/en/pro/programs/publichealth/coronavirus/2019_guidance.aspx" TargetMode="External"/><Relationship Id="rId21" Type="http://schemas.openxmlformats.org/officeDocument/2006/relationships/table" Target="../tables/table35.xml"/><Relationship Id="rId7" Type="http://schemas.openxmlformats.org/officeDocument/2006/relationships/vmlDrawing" Target="../drawings/vmlDrawing1.vml"/><Relationship Id="rId12" Type="http://schemas.openxmlformats.org/officeDocument/2006/relationships/table" Target="../tables/table26.xml"/><Relationship Id="rId17" Type="http://schemas.openxmlformats.org/officeDocument/2006/relationships/table" Target="../tables/table31.xml"/><Relationship Id="rId2" Type="http://schemas.openxmlformats.org/officeDocument/2006/relationships/hyperlink" Target="https://www.publichealthontario.ca/-/media/documents/ncov/ipac/ppe-recommended-steps" TargetMode="External"/><Relationship Id="rId16" Type="http://schemas.openxmlformats.org/officeDocument/2006/relationships/table" Target="../tables/table30.xml"/><Relationship Id="rId20" Type="http://schemas.openxmlformats.org/officeDocument/2006/relationships/table" Target="../tables/table34.xml"/><Relationship Id="rId1" Type="http://schemas.openxmlformats.org/officeDocument/2006/relationships/hyperlink" Target="https://www.canada.ca/en/health-canada/services/drugs-health-products/disinfectants/covid-19/hand-sanitizer.html" TargetMode="External"/><Relationship Id="rId6" Type="http://schemas.openxmlformats.org/officeDocument/2006/relationships/drawing" Target="../drawings/drawing4.xml"/><Relationship Id="rId11" Type="http://schemas.openxmlformats.org/officeDocument/2006/relationships/table" Target="../tables/table25.xml"/><Relationship Id="rId5" Type="http://schemas.openxmlformats.org/officeDocument/2006/relationships/printerSettings" Target="../printerSettings/printerSettings4.bin"/><Relationship Id="rId15" Type="http://schemas.openxmlformats.org/officeDocument/2006/relationships/table" Target="../tables/table29.xml"/><Relationship Id="rId23" Type="http://schemas.microsoft.com/office/2017/10/relationships/threadedComment" Target="../threadedComments/threadedComment1.xml"/><Relationship Id="rId10" Type="http://schemas.openxmlformats.org/officeDocument/2006/relationships/table" Target="../tables/table24.xml"/><Relationship Id="rId19" Type="http://schemas.openxmlformats.org/officeDocument/2006/relationships/table" Target="../tables/table33.xml"/><Relationship Id="rId4" Type="http://schemas.openxmlformats.org/officeDocument/2006/relationships/hyperlink" Target="https://www.publichealthontario.ca/en/Laboratory-Services/Test-Information-Index/Enteric-Gastroenteritis-Stool-Viruses" TargetMode="External"/><Relationship Id="rId9" Type="http://schemas.openxmlformats.org/officeDocument/2006/relationships/table" Target="../tables/table23.xml"/><Relationship Id="rId14" Type="http://schemas.openxmlformats.org/officeDocument/2006/relationships/table" Target="../tables/table28.xml"/><Relationship Id="rId22"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BBF5-2445-4624-83D9-F0C14BD6826D}">
  <sheetPr codeName="Sheet1">
    <tabColor theme="2" tint="-0.749992370372631"/>
  </sheetPr>
  <dimension ref="A1:H91"/>
  <sheetViews>
    <sheetView workbookViewId="0">
      <selection activeCell="C20" sqref="C20"/>
    </sheetView>
  </sheetViews>
  <sheetFormatPr defaultRowHeight="14.4" x14ac:dyDescent="0.3"/>
  <cols>
    <col min="1" max="1" width="16.5546875" bestFit="1" customWidth="1"/>
    <col min="2" max="2" width="44" bestFit="1" customWidth="1"/>
    <col min="3" max="3" width="37.77734375" style="1" customWidth="1"/>
    <col min="4" max="4" width="19.77734375" customWidth="1"/>
    <col min="5" max="5" width="38.5546875" customWidth="1"/>
    <col min="6" max="6" width="26.21875" bestFit="1" customWidth="1"/>
    <col min="7" max="7" width="32.44140625" style="1" customWidth="1"/>
    <col min="8" max="8" width="34" customWidth="1"/>
  </cols>
  <sheetData>
    <row r="1" spans="1:8" x14ac:dyDescent="0.3">
      <c r="A1" t="s">
        <v>30</v>
      </c>
      <c r="B1" t="s">
        <v>20</v>
      </c>
      <c r="C1" s="1" t="s">
        <v>32</v>
      </c>
      <c r="D1" t="s">
        <v>27</v>
      </c>
      <c r="E1" t="s">
        <v>22</v>
      </c>
      <c r="F1" t="s">
        <v>207</v>
      </c>
      <c r="G1" s="1" t="s">
        <v>21</v>
      </c>
      <c r="H1" s="1" t="s">
        <v>204</v>
      </c>
    </row>
    <row r="2" spans="1:8" x14ac:dyDescent="0.3">
      <c r="A2" t="s">
        <v>31</v>
      </c>
      <c r="B2" t="s">
        <v>239</v>
      </c>
      <c r="C2" s="1" t="s">
        <v>110</v>
      </c>
      <c r="D2" t="s">
        <v>28</v>
      </c>
      <c r="E2" s="1" t="s">
        <v>29</v>
      </c>
      <c r="F2" t="s">
        <v>62</v>
      </c>
      <c r="G2" s="1" t="s">
        <v>62</v>
      </c>
      <c r="H2" s="1" t="s">
        <v>62</v>
      </c>
    </row>
    <row r="3" spans="1:8" x14ac:dyDescent="0.3">
      <c r="A3" t="s">
        <v>31</v>
      </c>
      <c r="B3" t="s">
        <v>240</v>
      </c>
      <c r="C3" s="1" t="s">
        <v>111</v>
      </c>
      <c r="E3" s="1"/>
      <c r="F3" t="s">
        <v>62</v>
      </c>
      <c r="G3" s="1" t="s">
        <v>62</v>
      </c>
      <c r="H3" s="1" t="s">
        <v>62</v>
      </c>
    </row>
    <row r="4" spans="1:8" ht="28.8" x14ac:dyDescent="0.3">
      <c r="A4" t="s">
        <v>31</v>
      </c>
      <c r="B4" t="s">
        <v>241</v>
      </c>
      <c r="C4" s="1" t="s">
        <v>112</v>
      </c>
      <c r="D4" t="s">
        <v>26</v>
      </c>
      <c r="E4" s="1" t="s">
        <v>33</v>
      </c>
      <c r="F4" t="s">
        <v>62</v>
      </c>
      <c r="G4" s="1" t="s">
        <v>24</v>
      </c>
      <c r="H4" s="1" t="s">
        <v>211</v>
      </c>
    </row>
    <row r="5" spans="1:8" ht="28.8" x14ac:dyDescent="0.3">
      <c r="A5" t="s">
        <v>31</v>
      </c>
      <c r="B5" t="s">
        <v>242</v>
      </c>
      <c r="C5" s="1" t="s">
        <v>113</v>
      </c>
      <c r="E5" s="1" t="s">
        <v>77</v>
      </c>
      <c r="F5" t="s">
        <v>208</v>
      </c>
      <c r="G5" s="1" t="s">
        <v>199</v>
      </c>
      <c r="H5" s="1" t="s">
        <v>206</v>
      </c>
    </row>
    <row r="6" spans="1:8" ht="57.6" x14ac:dyDescent="0.3">
      <c r="A6" t="s">
        <v>31</v>
      </c>
      <c r="B6" t="s">
        <v>243</v>
      </c>
      <c r="C6" s="1" t="s">
        <v>114</v>
      </c>
      <c r="E6" s="1" t="s">
        <v>222</v>
      </c>
      <c r="F6" t="s">
        <v>209</v>
      </c>
      <c r="G6" s="1" t="s">
        <v>210</v>
      </c>
      <c r="H6" s="1" t="s">
        <v>206</v>
      </c>
    </row>
    <row r="7" spans="1:8" ht="28.8" x14ac:dyDescent="0.3">
      <c r="A7" t="s">
        <v>31</v>
      </c>
      <c r="B7" t="s">
        <v>244</v>
      </c>
      <c r="C7" s="1" t="s">
        <v>115</v>
      </c>
      <c r="E7" s="1" t="s">
        <v>81</v>
      </c>
      <c r="F7" t="s">
        <v>208</v>
      </c>
      <c r="G7" s="1" t="s">
        <v>199</v>
      </c>
      <c r="H7" s="1" t="s">
        <v>206</v>
      </c>
    </row>
    <row r="8" spans="1:8" ht="57.6" x14ac:dyDescent="0.3">
      <c r="A8" t="s">
        <v>31</v>
      </c>
      <c r="B8" t="s">
        <v>245</v>
      </c>
      <c r="C8" s="1" t="s">
        <v>116</v>
      </c>
      <c r="E8" s="1"/>
      <c r="F8" t="s">
        <v>62</v>
      </c>
      <c r="G8" s="1" t="s">
        <v>212</v>
      </c>
      <c r="H8" s="1"/>
    </row>
    <row r="9" spans="1:8" ht="28.8" x14ac:dyDescent="0.3">
      <c r="A9" t="s">
        <v>31</v>
      </c>
      <c r="B9" t="s">
        <v>246</v>
      </c>
      <c r="C9" s="1" t="s">
        <v>117</v>
      </c>
      <c r="D9" t="s">
        <v>26</v>
      </c>
      <c r="E9" s="1" t="s">
        <v>23</v>
      </c>
      <c r="F9" t="s">
        <v>62</v>
      </c>
      <c r="G9" s="1" t="s">
        <v>24</v>
      </c>
      <c r="H9" s="1" t="s">
        <v>213</v>
      </c>
    </row>
    <row r="10" spans="1:8" ht="28.8" x14ac:dyDescent="0.3">
      <c r="A10" t="s">
        <v>31</v>
      </c>
      <c r="B10" t="s">
        <v>247</v>
      </c>
      <c r="C10" s="1" t="s">
        <v>118</v>
      </c>
      <c r="E10" s="1" t="s">
        <v>59</v>
      </c>
      <c r="F10" t="s">
        <v>209</v>
      </c>
      <c r="G10" s="1" t="s">
        <v>64</v>
      </c>
      <c r="H10" s="1" t="s">
        <v>214</v>
      </c>
    </row>
    <row r="11" spans="1:8" ht="28.8" x14ac:dyDescent="0.3">
      <c r="A11" t="s">
        <v>31</v>
      </c>
      <c r="B11" t="s">
        <v>248</v>
      </c>
      <c r="C11" s="1" t="s">
        <v>119</v>
      </c>
      <c r="E11" s="1" t="s">
        <v>90</v>
      </c>
      <c r="F11" t="s">
        <v>208</v>
      </c>
      <c r="G11" s="1" t="s">
        <v>199</v>
      </c>
      <c r="H11" s="1" t="s">
        <v>206</v>
      </c>
    </row>
    <row r="12" spans="1:8" ht="28.8" x14ac:dyDescent="0.3">
      <c r="A12" t="s">
        <v>31</v>
      </c>
      <c r="B12" t="s">
        <v>249</v>
      </c>
      <c r="C12" s="1" t="s">
        <v>120</v>
      </c>
      <c r="E12" s="1"/>
      <c r="F12" t="s">
        <v>62</v>
      </c>
      <c r="G12" s="1" t="s">
        <v>215</v>
      </c>
      <c r="H12" s="1"/>
    </row>
    <row r="13" spans="1:8" ht="28.8" x14ac:dyDescent="0.3">
      <c r="A13" t="s">
        <v>31</v>
      </c>
      <c r="B13" t="s">
        <v>250</v>
      </c>
      <c r="C13" s="1" t="s">
        <v>121</v>
      </c>
      <c r="E13" s="1" t="s">
        <v>218</v>
      </c>
      <c r="F13" t="s">
        <v>208</v>
      </c>
      <c r="G13" s="1" t="s">
        <v>199</v>
      </c>
      <c r="H13" s="1" t="s">
        <v>206</v>
      </c>
    </row>
    <row r="14" spans="1:8" x14ac:dyDescent="0.3">
      <c r="A14" t="s">
        <v>31</v>
      </c>
      <c r="B14" t="s">
        <v>251</v>
      </c>
      <c r="C14" s="1" t="s">
        <v>122</v>
      </c>
      <c r="E14" s="1"/>
      <c r="F14" t="s">
        <v>62</v>
      </c>
      <c r="G14" s="1" t="s">
        <v>219</v>
      </c>
      <c r="H14" s="1"/>
    </row>
    <row r="15" spans="1:8" x14ac:dyDescent="0.3">
      <c r="A15" t="s">
        <v>31</v>
      </c>
      <c r="B15" t="s">
        <v>252</v>
      </c>
      <c r="C15" s="1" t="s">
        <v>123</v>
      </c>
      <c r="E15" s="1"/>
      <c r="F15" t="s">
        <v>62</v>
      </c>
      <c r="G15" s="1" t="s">
        <v>220</v>
      </c>
      <c r="H15" s="1"/>
    </row>
    <row r="16" spans="1:8" ht="28.8" x14ac:dyDescent="0.3">
      <c r="A16" t="s">
        <v>31</v>
      </c>
      <c r="B16" t="s">
        <v>253</v>
      </c>
      <c r="C16" s="1" t="s">
        <v>124</v>
      </c>
      <c r="D16" t="s">
        <v>26</v>
      </c>
      <c r="E16" s="1" t="s">
        <v>23</v>
      </c>
      <c r="F16" t="s">
        <v>62</v>
      </c>
      <c r="G16" s="1" t="s">
        <v>24</v>
      </c>
      <c r="H16" s="1" t="s">
        <v>213</v>
      </c>
    </row>
    <row r="17" spans="1:8" ht="28.8" x14ac:dyDescent="0.3">
      <c r="A17" t="s">
        <v>31</v>
      </c>
      <c r="B17" t="s">
        <v>254</v>
      </c>
      <c r="C17" s="1" t="s">
        <v>125</v>
      </c>
      <c r="D17" t="s">
        <v>26</v>
      </c>
      <c r="E17" s="1" t="s">
        <v>23</v>
      </c>
      <c r="F17" t="s">
        <v>62</v>
      </c>
      <c r="G17" s="1" t="s">
        <v>24</v>
      </c>
      <c r="H17" s="1" t="s">
        <v>213</v>
      </c>
    </row>
    <row r="18" spans="1:8" ht="28.8" x14ac:dyDescent="0.3">
      <c r="A18" t="s">
        <v>31</v>
      </c>
      <c r="B18" t="s">
        <v>255</v>
      </c>
      <c r="C18" s="1" t="s">
        <v>126</v>
      </c>
      <c r="D18" t="s">
        <v>26</v>
      </c>
      <c r="E18" s="1" t="s">
        <v>23</v>
      </c>
      <c r="F18" t="s">
        <v>62</v>
      </c>
      <c r="G18" s="1" t="s">
        <v>24</v>
      </c>
      <c r="H18" s="1" t="s">
        <v>213</v>
      </c>
    </row>
    <row r="19" spans="1:8" ht="28.8" x14ac:dyDescent="0.3">
      <c r="A19" t="s">
        <v>31</v>
      </c>
      <c r="B19" t="s">
        <v>256</v>
      </c>
      <c r="C19" s="1" t="s">
        <v>127</v>
      </c>
      <c r="D19" t="s">
        <v>26</v>
      </c>
      <c r="E19" s="1" t="s">
        <v>23</v>
      </c>
      <c r="F19" t="s">
        <v>62</v>
      </c>
      <c r="G19" s="1" t="s">
        <v>24</v>
      </c>
      <c r="H19" s="1" t="s">
        <v>213</v>
      </c>
    </row>
    <row r="20" spans="1:8" ht="28.8" x14ac:dyDescent="0.3">
      <c r="A20" t="s">
        <v>31</v>
      </c>
      <c r="B20" t="s">
        <v>257</v>
      </c>
      <c r="C20" s="1" t="s">
        <v>128</v>
      </c>
      <c r="D20" t="s">
        <v>26</v>
      </c>
      <c r="E20" s="1" t="s">
        <v>34</v>
      </c>
      <c r="F20" t="s">
        <v>62</v>
      </c>
      <c r="G20" s="1" t="s">
        <v>24</v>
      </c>
      <c r="H20" s="1" t="s">
        <v>221</v>
      </c>
    </row>
    <row r="21" spans="1:8" ht="28.8" x14ac:dyDescent="0.3">
      <c r="A21" t="s">
        <v>31</v>
      </c>
      <c r="B21" t="s">
        <v>258</v>
      </c>
      <c r="C21" s="1" t="s">
        <v>129</v>
      </c>
      <c r="E21" s="1" t="s">
        <v>59</v>
      </c>
      <c r="F21" t="s">
        <v>209</v>
      </c>
      <c r="G21" s="1" t="s">
        <v>64</v>
      </c>
      <c r="H21" s="1" t="s">
        <v>214</v>
      </c>
    </row>
    <row r="22" spans="1:8" ht="28.8" x14ac:dyDescent="0.3">
      <c r="A22" t="s">
        <v>31</v>
      </c>
      <c r="B22" t="s">
        <v>259</v>
      </c>
      <c r="C22" s="1" t="s">
        <v>130</v>
      </c>
      <c r="D22" t="s">
        <v>26</v>
      </c>
      <c r="E22" s="1" t="s">
        <v>23</v>
      </c>
      <c r="F22" t="s">
        <v>62</v>
      </c>
      <c r="G22" s="1" t="s">
        <v>24</v>
      </c>
      <c r="H22" s="1" t="s">
        <v>213</v>
      </c>
    </row>
    <row r="23" spans="1:8" ht="28.8" x14ac:dyDescent="0.3">
      <c r="A23" t="s">
        <v>31</v>
      </c>
      <c r="B23" t="s">
        <v>260</v>
      </c>
      <c r="C23" s="1" t="s">
        <v>131</v>
      </c>
      <c r="D23" t="s">
        <v>26</v>
      </c>
      <c r="E23" s="1" t="s">
        <v>23</v>
      </c>
      <c r="F23" t="s">
        <v>62</v>
      </c>
      <c r="G23" s="1" t="s">
        <v>24</v>
      </c>
      <c r="H23" s="1" t="s">
        <v>213</v>
      </c>
    </row>
    <row r="24" spans="1:8" ht="28.8" x14ac:dyDescent="0.3">
      <c r="A24" t="s">
        <v>31</v>
      </c>
      <c r="B24" t="s">
        <v>261</v>
      </c>
      <c r="C24" s="1" t="s">
        <v>331</v>
      </c>
      <c r="E24" s="1" t="s">
        <v>205</v>
      </c>
      <c r="F24" t="s">
        <v>208</v>
      </c>
      <c r="G24" s="1" t="s">
        <v>199</v>
      </c>
      <c r="H24" s="1" t="s">
        <v>206</v>
      </c>
    </row>
    <row r="25" spans="1:8" ht="28.8" x14ac:dyDescent="0.3">
      <c r="A25" t="s">
        <v>31</v>
      </c>
      <c r="B25" t="s">
        <v>262</v>
      </c>
      <c r="C25" s="1" t="s">
        <v>132</v>
      </c>
      <c r="D25" t="s">
        <v>26</v>
      </c>
      <c r="E25" s="1" t="s">
        <v>23</v>
      </c>
      <c r="F25" t="s">
        <v>62</v>
      </c>
      <c r="G25" s="1" t="s">
        <v>24</v>
      </c>
      <c r="H25" s="1" t="s">
        <v>213</v>
      </c>
    </row>
    <row r="26" spans="1:8" ht="28.8" x14ac:dyDescent="0.3">
      <c r="A26" t="s">
        <v>31</v>
      </c>
      <c r="B26" t="s">
        <v>263</v>
      </c>
      <c r="C26" s="1" t="s">
        <v>133</v>
      </c>
      <c r="D26" t="s">
        <v>26</v>
      </c>
      <c r="E26" s="1" t="s">
        <v>23</v>
      </c>
      <c r="F26" t="s">
        <v>62</v>
      </c>
      <c r="G26" s="1" t="s">
        <v>24</v>
      </c>
      <c r="H26" s="1" t="s">
        <v>213</v>
      </c>
    </row>
    <row r="27" spans="1:8" ht="28.8" x14ac:dyDescent="0.3">
      <c r="A27" t="s">
        <v>31</v>
      </c>
      <c r="B27" t="s">
        <v>264</v>
      </c>
      <c r="C27" s="1" t="s">
        <v>134</v>
      </c>
      <c r="E27" s="1" t="s">
        <v>205</v>
      </c>
      <c r="F27" t="s">
        <v>208</v>
      </c>
      <c r="G27" s="1" t="s">
        <v>199</v>
      </c>
      <c r="H27" s="1" t="s">
        <v>206</v>
      </c>
    </row>
    <row r="28" spans="1:8" ht="28.8" x14ac:dyDescent="0.3">
      <c r="A28" t="s">
        <v>31</v>
      </c>
      <c r="B28" t="s">
        <v>265</v>
      </c>
      <c r="C28" s="1" t="s">
        <v>135</v>
      </c>
      <c r="D28" t="s">
        <v>26</v>
      </c>
      <c r="E28" s="1" t="s">
        <v>23</v>
      </c>
      <c r="F28" t="s">
        <v>62</v>
      </c>
      <c r="G28" s="1" t="s">
        <v>24</v>
      </c>
      <c r="H28" s="1" t="s">
        <v>213</v>
      </c>
    </row>
    <row r="29" spans="1:8" ht="28.8" x14ac:dyDescent="0.3">
      <c r="A29" t="s">
        <v>31</v>
      </c>
      <c r="B29" t="s">
        <v>266</v>
      </c>
      <c r="C29" s="1" t="s">
        <v>136</v>
      </c>
      <c r="D29" t="s">
        <v>26</v>
      </c>
      <c r="E29" s="1" t="s">
        <v>23</v>
      </c>
      <c r="F29" t="s">
        <v>62</v>
      </c>
      <c r="G29" s="1" t="s">
        <v>24</v>
      </c>
      <c r="H29" s="1" t="s">
        <v>213</v>
      </c>
    </row>
    <row r="30" spans="1:8" ht="28.8" x14ac:dyDescent="0.3">
      <c r="A30" t="s">
        <v>31</v>
      </c>
      <c r="B30" t="s">
        <v>267</v>
      </c>
      <c r="C30" s="1" t="s">
        <v>137</v>
      </c>
      <c r="E30" s="1" t="s">
        <v>205</v>
      </c>
      <c r="F30" t="s">
        <v>208</v>
      </c>
      <c r="G30" s="1" t="s">
        <v>199</v>
      </c>
      <c r="H30" s="1" t="s">
        <v>206</v>
      </c>
    </row>
    <row r="31" spans="1:8" ht="28.8" x14ac:dyDescent="0.3">
      <c r="A31" t="s">
        <v>31</v>
      </c>
      <c r="B31" t="s">
        <v>268</v>
      </c>
      <c r="C31" s="1" t="s">
        <v>138</v>
      </c>
      <c r="E31" s="1" t="s">
        <v>60</v>
      </c>
      <c r="F31" t="s">
        <v>209</v>
      </c>
      <c r="G31" s="1" t="s">
        <v>64</v>
      </c>
      <c r="H31" s="1" t="s">
        <v>214</v>
      </c>
    </row>
    <row r="32" spans="1:8" ht="28.8" x14ac:dyDescent="0.3">
      <c r="A32" t="s">
        <v>31</v>
      </c>
      <c r="B32" t="s">
        <v>269</v>
      </c>
      <c r="C32" s="1" t="s">
        <v>139</v>
      </c>
      <c r="D32" t="s">
        <v>26</v>
      </c>
      <c r="E32" s="1" t="s">
        <v>23</v>
      </c>
      <c r="F32" t="s">
        <v>62</v>
      </c>
      <c r="G32" s="1" t="s">
        <v>24</v>
      </c>
      <c r="H32" s="1" t="s">
        <v>213</v>
      </c>
    </row>
    <row r="33" spans="1:8" ht="72" x14ac:dyDescent="0.3">
      <c r="A33" t="s">
        <v>31</v>
      </c>
      <c r="B33" t="s">
        <v>271</v>
      </c>
      <c r="C33" s="1" t="s">
        <v>140</v>
      </c>
      <c r="E33" s="1" t="s">
        <v>65</v>
      </c>
      <c r="F33" t="s">
        <v>209</v>
      </c>
      <c r="G33" s="1" t="s">
        <v>66</v>
      </c>
      <c r="H33" s="1" t="s">
        <v>223</v>
      </c>
    </row>
    <row r="34" spans="1:8" ht="100.8" x14ac:dyDescent="0.3">
      <c r="A34" t="s">
        <v>31</v>
      </c>
      <c r="B34" t="s">
        <v>270</v>
      </c>
      <c r="C34" s="1" t="s">
        <v>141</v>
      </c>
      <c r="E34" s="1" t="s">
        <v>91</v>
      </c>
      <c r="F34" t="s">
        <v>209</v>
      </c>
      <c r="G34" s="1" t="s">
        <v>92</v>
      </c>
      <c r="H34" s="1" t="s">
        <v>224</v>
      </c>
    </row>
    <row r="35" spans="1:8" ht="28.8" x14ac:dyDescent="0.3">
      <c r="A35" t="s">
        <v>31</v>
      </c>
      <c r="B35" t="s">
        <v>272</v>
      </c>
      <c r="C35" s="1" t="s">
        <v>142</v>
      </c>
      <c r="E35" s="1" t="s">
        <v>60</v>
      </c>
      <c r="F35" t="s">
        <v>209</v>
      </c>
      <c r="G35" s="1" t="s">
        <v>64</v>
      </c>
      <c r="H35" s="1" t="s">
        <v>214</v>
      </c>
    </row>
    <row r="36" spans="1:8" ht="28.8" x14ac:dyDescent="0.3">
      <c r="A36" t="s">
        <v>31</v>
      </c>
      <c r="B36" t="s">
        <v>273</v>
      </c>
      <c r="C36" s="1" t="s">
        <v>143</v>
      </c>
      <c r="E36" s="1" t="s">
        <v>60</v>
      </c>
      <c r="F36" t="s">
        <v>209</v>
      </c>
      <c r="G36" s="1" t="s">
        <v>64</v>
      </c>
      <c r="H36" s="1" t="s">
        <v>214</v>
      </c>
    </row>
    <row r="37" spans="1:8" ht="28.8" x14ac:dyDescent="0.3">
      <c r="A37" t="s">
        <v>31</v>
      </c>
      <c r="B37" t="s">
        <v>274</v>
      </c>
      <c r="C37" s="1" t="s">
        <v>144</v>
      </c>
      <c r="E37" s="1" t="s">
        <v>60</v>
      </c>
      <c r="F37" t="s">
        <v>209</v>
      </c>
      <c r="G37" s="1" t="s">
        <v>64</v>
      </c>
      <c r="H37" s="1" t="s">
        <v>214</v>
      </c>
    </row>
    <row r="38" spans="1:8" ht="28.8" x14ac:dyDescent="0.3">
      <c r="A38" t="s">
        <v>31</v>
      </c>
      <c r="B38" t="s">
        <v>275</v>
      </c>
      <c r="C38" s="1" t="s">
        <v>145</v>
      </c>
      <c r="E38" s="1" t="s">
        <v>60</v>
      </c>
      <c r="F38" t="s">
        <v>209</v>
      </c>
      <c r="G38" s="1" t="s">
        <v>64</v>
      </c>
      <c r="H38" s="1" t="s">
        <v>214</v>
      </c>
    </row>
    <row r="39" spans="1:8" ht="28.8" x14ac:dyDescent="0.3">
      <c r="A39" t="s">
        <v>31</v>
      </c>
      <c r="B39" t="s">
        <v>276</v>
      </c>
      <c r="C39" s="1" t="s">
        <v>146</v>
      </c>
      <c r="E39" s="1" t="s">
        <v>60</v>
      </c>
      <c r="F39" t="s">
        <v>209</v>
      </c>
      <c r="G39" s="1" t="s">
        <v>64</v>
      </c>
      <c r="H39" s="1" t="s">
        <v>214</v>
      </c>
    </row>
    <row r="40" spans="1:8" ht="28.8" x14ac:dyDescent="0.3">
      <c r="A40" t="s">
        <v>31</v>
      </c>
      <c r="B40" t="s">
        <v>277</v>
      </c>
      <c r="C40" s="1" t="s">
        <v>147</v>
      </c>
      <c r="E40" s="1" t="s">
        <v>60</v>
      </c>
      <c r="F40" t="s">
        <v>209</v>
      </c>
      <c r="G40" s="1" t="s">
        <v>64</v>
      </c>
      <c r="H40" s="1" t="s">
        <v>214</v>
      </c>
    </row>
    <row r="41" spans="1:8" ht="28.8" x14ac:dyDescent="0.3">
      <c r="A41" t="s">
        <v>31</v>
      </c>
      <c r="B41" t="s">
        <v>278</v>
      </c>
      <c r="C41" s="1" t="s">
        <v>148</v>
      </c>
      <c r="E41" s="1" t="s">
        <v>60</v>
      </c>
      <c r="F41" t="s">
        <v>209</v>
      </c>
      <c r="G41" s="1" t="s">
        <v>64</v>
      </c>
      <c r="H41" s="1" t="s">
        <v>214</v>
      </c>
    </row>
    <row r="42" spans="1:8" ht="28.8" x14ac:dyDescent="0.3">
      <c r="A42" t="s">
        <v>31</v>
      </c>
      <c r="B42" t="s">
        <v>279</v>
      </c>
      <c r="C42" s="1" t="s">
        <v>149</v>
      </c>
      <c r="E42" s="1" t="s">
        <v>60</v>
      </c>
      <c r="F42" t="s">
        <v>209</v>
      </c>
      <c r="G42" s="1" t="s">
        <v>64</v>
      </c>
      <c r="H42" s="1" t="s">
        <v>214</v>
      </c>
    </row>
    <row r="43" spans="1:8" ht="28.8" x14ac:dyDescent="0.3">
      <c r="A43" t="s">
        <v>31</v>
      </c>
      <c r="B43" t="s">
        <v>280</v>
      </c>
      <c r="C43" s="1" t="s">
        <v>150</v>
      </c>
      <c r="E43" s="1" t="s">
        <v>60</v>
      </c>
      <c r="F43" t="s">
        <v>209</v>
      </c>
      <c r="G43" s="1" t="s">
        <v>64</v>
      </c>
      <c r="H43" s="1" t="s">
        <v>214</v>
      </c>
    </row>
    <row r="44" spans="1:8" ht="28.8" x14ac:dyDescent="0.3">
      <c r="A44" t="s">
        <v>31</v>
      </c>
      <c r="B44" t="s">
        <v>281</v>
      </c>
      <c r="C44" s="1" t="s">
        <v>151</v>
      </c>
      <c r="E44" s="1" t="s">
        <v>60</v>
      </c>
      <c r="F44" t="s">
        <v>209</v>
      </c>
      <c r="G44" s="1" t="s">
        <v>64</v>
      </c>
      <c r="H44" s="1" t="s">
        <v>214</v>
      </c>
    </row>
    <row r="45" spans="1:8" ht="129.6" x14ac:dyDescent="0.3">
      <c r="A45" t="s">
        <v>31</v>
      </c>
      <c r="B45" t="s">
        <v>282</v>
      </c>
      <c r="C45" s="1" t="s">
        <v>152</v>
      </c>
      <c r="E45" s="1" t="s">
        <v>61</v>
      </c>
      <c r="F45" t="s">
        <v>209</v>
      </c>
      <c r="G45" s="1" t="s">
        <v>67</v>
      </c>
      <c r="H45" s="1" t="s">
        <v>225</v>
      </c>
    </row>
    <row r="46" spans="1:8" ht="28.8" x14ac:dyDescent="0.3">
      <c r="A46" t="s">
        <v>31</v>
      </c>
      <c r="B46" t="s">
        <v>283</v>
      </c>
      <c r="C46" s="1" t="s">
        <v>153</v>
      </c>
      <c r="E46" s="1" t="s">
        <v>60</v>
      </c>
      <c r="F46" t="s">
        <v>209</v>
      </c>
      <c r="G46" s="1" t="s">
        <v>64</v>
      </c>
      <c r="H46" s="1" t="s">
        <v>214</v>
      </c>
    </row>
    <row r="47" spans="1:8" ht="28.8" x14ac:dyDescent="0.3">
      <c r="A47" t="s">
        <v>31</v>
      </c>
      <c r="B47" t="s">
        <v>284</v>
      </c>
      <c r="C47" s="1" t="s">
        <v>154</v>
      </c>
      <c r="E47" s="1" t="s">
        <v>60</v>
      </c>
      <c r="F47" t="s">
        <v>209</v>
      </c>
      <c r="G47" s="1" t="s">
        <v>64</v>
      </c>
      <c r="H47" s="1" t="s">
        <v>214</v>
      </c>
    </row>
    <row r="48" spans="1:8" ht="28.8" x14ac:dyDescent="0.3">
      <c r="A48" t="s">
        <v>31</v>
      </c>
      <c r="B48" t="s">
        <v>285</v>
      </c>
      <c r="C48" s="1" t="s">
        <v>155</v>
      </c>
      <c r="E48" s="1" t="s">
        <v>60</v>
      </c>
      <c r="F48" t="s">
        <v>209</v>
      </c>
      <c r="G48" s="1" t="s">
        <v>64</v>
      </c>
      <c r="H48" s="1" t="s">
        <v>214</v>
      </c>
    </row>
    <row r="49" spans="1:8" ht="28.8" x14ac:dyDescent="0.3">
      <c r="A49" t="s">
        <v>31</v>
      </c>
      <c r="B49" t="s">
        <v>286</v>
      </c>
      <c r="C49" s="1" t="s">
        <v>156</v>
      </c>
      <c r="E49" s="1"/>
      <c r="F49" t="s">
        <v>62</v>
      </c>
      <c r="G49" s="1" t="s">
        <v>226</v>
      </c>
      <c r="H49" s="1"/>
    </row>
    <row r="50" spans="1:8" ht="28.8" x14ac:dyDescent="0.3">
      <c r="A50" t="s">
        <v>31</v>
      </c>
      <c r="B50" t="s">
        <v>287</v>
      </c>
      <c r="C50" s="1" t="s">
        <v>157</v>
      </c>
      <c r="D50" t="s">
        <v>26</v>
      </c>
      <c r="E50" s="1" t="s">
        <v>23</v>
      </c>
      <c r="F50" t="s">
        <v>62</v>
      </c>
      <c r="G50" s="1" t="s">
        <v>24</v>
      </c>
      <c r="H50" s="1" t="s">
        <v>213</v>
      </c>
    </row>
    <row r="51" spans="1:8" ht="28.8" x14ac:dyDescent="0.3">
      <c r="A51" t="s">
        <v>31</v>
      </c>
      <c r="B51" t="s">
        <v>288</v>
      </c>
      <c r="C51" s="1" t="s">
        <v>158</v>
      </c>
      <c r="E51" s="1" t="s">
        <v>60</v>
      </c>
      <c r="F51" t="s">
        <v>209</v>
      </c>
      <c r="G51" s="1" t="s">
        <v>64</v>
      </c>
      <c r="H51" s="1" t="s">
        <v>214</v>
      </c>
    </row>
    <row r="52" spans="1:8" ht="28.8" x14ac:dyDescent="0.3">
      <c r="A52" t="s">
        <v>31</v>
      </c>
      <c r="B52" t="s">
        <v>289</v>
      </c>
      <c r="C52" s="1" t="s">
        <v>159</v>
      </c>
      <c r="E52" s="1" t="s">
        <v>60</v>
      </c>
      <c r="F52" t="s">
        <v>209</v>
      </c>
      <c r="G52" s="1" t="s">
        <v>64</v>
      </c>
      <c r="H52" s="1" t="s">
        <v>214</v>
      </c>
    </row>
    <row r="53" spans="1:8" ht="28.8" x14ac:dyDescent="0.3">
      <c r="A53" t="s">
        <v>31</v>
      </c>
      <c r="B53" t="s">
        <v>290</v>
      </c>
      <c r="C53" s="1" t="s">
        <v>160</v>
      </c>
      <c r="E53" s="1"/>
      <c r="F53" t="s">
        <v>62</v>
      </c>
      <c r="G53" s="1" t="s">
        <v>227</v>
      </c>
      <c r="H53" s="1"/>
    </row>
    <row r="54" spans="1:8" ht="28.8" x14ac:dyDescent="0.3">
      <c r="A54" t="s">
        <v>31</v>
      </c>
      <c r="B54" t="s">
        <v>291</v>
      </c>
      <c r="C54" s="1" t="s">
        <v>161</v>
      </c>
      <c r="D54" t="s">
        <v>26</v>
      </c>
      <c r="E54" s="1" t="s">
        <v>23</v>
      </c>
      <c r="F54" t="s">
        <v>62</v>
      </c>
      <c r="G54" s="1" t="s">
        <v>24</v>
      </c>
      <c r="H54" s="1" t="s">
        <v>213</v>
      </c>
    </row>
    <row r="55" spans="1:8" ht="28.8" x14ac:dyDescent="0.3">
      <c r="A55" t="s">
        <v>31</v>
      </c>
      <c r="B55" t="s">
        <v>292</v>
      </c>
      <c r="C55" s="1" t="s">
        <v>162</v>
      </c>
      <c r="D55" t="s">
        <v>26</v>
      </c>
      <c r="E55" s="1" t="s">
        <v>23</v>
      </c>
      <c r="F55" t="s">
        <v>62</v>
      </c>
      <c r="G55" s="1" t="s">
        <v>24</v>
      </c>
      <c r="H55" s="1" t="s">
        <v>213</v>
      </c>
    </row>
    <row r="56" spans="1:8" ht="28.8" x14ac:dyDescent="0.3">
      <c r="A56" t="s">
        <v>31</v>
      </c>
      <c r="B56" t="s">
        <v>293</v>
      </c>
      <c r="C56" s="1" t="s">
        <v>163</v>
      </c>
      <c r="D56" t="s">
        <v>26</v>
      </c>
      <c r="E56" s="1" t="s">
        <v>23</v>
      </c>
      <c r="F56" t="s">
        <v>62</v>
      </c>
      <c r="G56" s="1" t="s">
        <v>24</v>
      </c>
      <c r="H56" s="1" t="s">
        <v>213</v>
      </c>
    </row>
    <row r="57" spans="1:8" ht="28.8" x14ac:dyDescent="0.3">
      <c r="A57" t="s">
        <v>31</v>
      </c>
      <c r="B57" t="s">
        <v>294</v>
      </c>
      <c r="C57" s="1" t="s">
        <v>164</v>
      </c>
      <c r="D57" t="s">
        <v>26</v>
      </c>
      <c r="E57" s="1" t="s">
        <v>23</v>
      </c>
      <c r="F57" t="s">
        <v>62</v>
      </c>
      <c r="G57" s="1" t="s">
        <v>24</v>
      </c>
      <c r="H57" s="1" t="s">
        <v>213</v>
      </c>
    </row>
    <row r="58" spans="1:8" ht="28.8" x14ac:dyDescent="0.3">
      <c r="A58" t="s">
        <v>31</v>
      </c>
      <c r="B58" t="s">
        <v>295</v>
      </c>
      <c r="C58" s="1" t="s">
        <v>165</v>
      </c>
      <c r="D58" t="s">
        <v>26</v>
      </c>
      <c r="E58" s="1" t="s">
        <v>23</v>
      </c>
      <c r="F58" t="s">
        <v>62</v>
      </c>
      <c r="G58" s="1" t="s">
        <v>24</v>
      </c>
      <c r="H58" s="1" t="s">
        <v>213</v>
      </c>
    </row>
    <row r="59" spans="1:8" ht="28.8" x14ac:dyDescent="0.3">
      <c r="A59" t="s">
        <v>31</v>
      </c>
      <c r="B59" t="s">
        <v>296</v>
      </c>
      <c r="C59" s="1" t="s">
        <v>166</v>
      </c>
      <c r="E59" s="1"/>
      <c r="F59" t="s">
        <v>62</v>
      </c>
      <c r="G59" s="1" t="s">
        <v>228</v>
      </c>
      <c r="H59" s="1"/>
    </row>
    <row r="60" spans="1:8" x14ac:dyDescent="0.3">
      <c r="A60" t="s">
        <v>170</v>
      </c>
      <c r="B60" t="s">
        <v>174</v>
      </c>
      <c r="C60" s="1" t="s">
        <v>177</v>
      </c>
      <c r="E60" s="1"/>
      <c r="F60" t="s">
        <v>62</v>
      </c>
      <c r="G60" s="1" t="s">
        <v>229</v>
      </c>
      <c r="H60" s="1"/>
    </row>
    <row r="61" spans="1:8" ht="57.6" x14ac:dyDescent="0.3">
      <c r="A61" t="s">
        <v>170</v>
      </c>
      <c r="B61" t="s">
        <v>175</v>
      </c>
      <c r="C61" s="1" t="s">
        <v>176</v>
      </c>
      <c r="E61" s="1"/>
      <c r="F61" t="s">
        <v>62</v>
      </c>
      <c r="G61" s="1" t="s">
        <v>230</v>
      </c>
      <c r="H61" s="1"/>
    </row>
    <row r="62" spans="1:8" ht="28.8" x14ac:dyDescent="0.3">
      <c r="A62" t="s">
        <v>170</v>
      </c>
      <c r="B62" t="s">
        <v>179</v>
      </c>
      <c r="C62" s="1" t="s">
        <v>188</v>
      </c>
      <c r="D62" t="s">
        <v>26</v>
      </c>
      <c r="E62" s="1" t="s">
        <v>23</v>
      </c>
      <c r="F62" t="s">
        <v>62</v>
      </c>
      <c r="G62" s="1" t="s">
        <v>24</v>
      </c>
      <c r="H62" s="1" t="s">
        <v>213</v>
      </c>
    </row>
    <row r="63" spans="1:8" x14ac:dyDescent="0.3">
      <c r="A63" t="s">
        <v>170</v>
      </c>
      <c r="B63" t="s">
        <v>12</v>
      </c>
      <c r="C63" s="1" t="s">
        <v>189</v>
      </c>
      <c r="E63" s="1"/>
      <c r="H63" s="1"/>
    </row>
    <row r="64" spans="1:8" ht="28.8" x14ac:dyDescent="0.3">
      <c r="A64" t="s">
        <v>170</v>
      </c>
      <c r="B64" t="s">
        <v>178</v>
      </c>
      <c r="C64" s="1" t="s">
        <v>190</v>
      </c>
      <c r="D64" t="s">
        <v>26</v>
      </c>
      <c r="E64" s="1" t="s">
        <v>23</v>
      </c>
      <c r="F64" t="s">
        <v>62</v>
      </c>
      <c r="G64" s="1" t="s">
        <v>24</v>
      </c>
      <c r="H64" s="1" t="s">
        <v>213</v>
      </c>
    </row>
    <row r="65" spans="1:8" ht="28.8" x14ac:dyDescent="0.3">
      <c r="A65" t="s">
        <v>170</v>
      </c>
      <c r="B65" t="s">
        <v>180</v>
      </c>
      <c r="C65" s="1" t="s">
        <v>191</v>
      </c>
      <c r="D65" t="s">
        <v>26</v>
      </c>
      <c r="E65" s="1" t="s">
        <v>23</v>
      </c>
      <c r="F65" t="s">
        <v>62</v>
      </c>
      <c r="G65" s="1" t="s">
        <v>24</v>
      </c>
      <c r="H65" s="1" t="s">
        <v>213</v>
      </c>
    </row>
    <row r="66" spans="1:8" ht="28.8" x14ac:dyDescent="0.3">
      <c r="A66" t="s">
        <v>170</v>
      </c>
      <c r="B66" t="s">
        <v>181</v>
      </c>
      <c r="C66" s="1" t="s">
        <v>192</v>
      </c>
      <c r="D66" t="s">
        <v>26</v>
      </c>
      <c r="E66" s="1" t="s">
        <v>23</v>
      </c>
      <c r="F66" t="s">
        <v>62</v>
      </c>
      <c r="G66" s="1" t="s">
        <v>24</v>
      </c>
      <c r="H66" s="1" t="s">
        <v>213</v>
      </c>
    </row>
    <row r="67" spans="1:8" x14ac:dyDescent="0.3">
      <c r="A67" t="s">
        <v>170</v>
      </c>
      <c r="B67" t="s">
        <v>182</v>
      </c>
      <c r="C67" s="1" t="s">
        <v>193</v>
      </c>
      <c r="E67" s="1"/>
      <c r="F67" t="s">
        <v>62</v>
      </c>
      <c r="G67" s="1" t="s">
        <v>231</v>
      </c>
      <c r="H67" s="1"/>
    </row>
    <row r="68" spans="1:8" ht="28.8" x14ac:dyDescent="0.3">
      <c r="A68" t="s">
        <v>170</v>
      </c>
      <c r="B68" t="s">
        <v>183</v>
      </c>
      <c r="C68" s="1" t="s">
        <v>194</v>
      </c>
      <c r="E68" s="1"/>
      <c r="F68" t="s">
        <v>62</v>
      </c>
      <c r="G68" s="1" t="s">
        <v>232</v>
      </c>
      <c r="H68" s="1"/>
    </row>
    <row r="69" spans="1:8" ht="57.6" x14ac:dyDescent="0.3">
      <c r="A69" t="s">
        <v>170</v>
      </c>
      <c r="B69" t="s">
        <v>184</v>
      </c>
      <c r="C69" s="1" t="s">
        <v>195</v>
      </c>
      <c r="E69" s="1"/>
      <c r="F69" t="s">
        <v>62</v>
      </c>
      <c r="G69" s="1" t="s">
        <v>233</v>
      </c>
      <c r="H69" s="1"/>
    </row>
    <row r="70" spans="1:8" ht="28.8" x14ac:dyDescent="0.3">
      <c r="A70" t="s">
        <v>170</v>
      </c>
      <c r="B70" t="s">
        <v>197</v>
      </c>
      <c r="C70" s="1" t="s">
        <v>196</v>
      </c>
      <c r="E70" s="1"/>
      <c r="F70" t="s">
        <v>62</v>
      </c>
      <c r="G70" s="1" t="s">
        <v>234</v>
      </c>
      <c r="H70" s="1"/>
    </row>
    <row r="71" spans="1:8" x14ac:dyDescent="0.3">
      <c r="A71" t="s">
        <v>170</v>
      </c>
      <c r="B71" t="s">
        <v>185</v>
      </c>
      <c r="C71" s="1" t="s">
        <v>198</v>
      </c>
      <c r="E71" s="1"/>
      <c r="F71" t="s">
        <v>62</v>
      </c>
      <c r="G71" s="1" t="s">
        <v>235</v>
      </c>
      <c r="H71" s="1"/>
    </row>
    <row r="72" spans="1:8" ht="28.8" x14ac:dyDescent="0.3">
      <c r="A72" t="s">
        <v>170</v>
      </c>
      <c r="B72" t="s">
        <v>186</v>
      </c>
      <c r="C72" s="1" t="s">
        <v>557</v>
      </c>
      <c r="E72" s="1"/>
      <c r="F72" t="s">
        <v>62</v>
      </c>
      <c r="G72" s="1" t="s">
        <v>236</v>
      </c>
      <c r="H72" s="1"/>
    </row>
    <row r="73" spans="1:8" ht="28.8" x14ac:dyDescent="0.3">
      <c r="A73" t="s">
        <v>170</v>
      </c>
      <c r="B73" t="s">
        <v>187</v>
      </c>
      <c r="C73" s="1" t="s">
        <v>172</v>
      </c>
      <c r="E73" s="1"/>
      <c r="F73" t="s">
        <v>62</v>
      </c>
      <c r="G73" s="1" t="s">
        <v>237</v>
      </c>
      <c r="H73" s="1"/>
    </row>
    <row r="74" spans="1:8" x14ac:dyDescent="0.3">
      <c r="A74" t="s">
        <v>170</v>
      </c>
      <c r="B74" t="s">
        <v>171</v>
      </c>
      <c r="C74" s="1" t="s">
        <v>558</v>
      </c>
      <c r="E74" s="1" t="s">
        <v>173</v>
      </c>
      <c r="G74" s="1" t="s">
        <v>199</v>
      </c>
      <c r="H74" s="1"/>
    </row>
    <row r="75" spans="1:8" ht="43.2" x14ac:dyDescent="0.3">
      <c r="A75" t="s">
        <v>170</v>
      </c>
      <c r="B75" t="s">
        <v>15</v>
      </c>
      <c r="C75" s="23" t="s">
        <v>559</v>
      </c>
      <c r="E75" s="1"/>
      <c r="H75" s="1"/>
    </row>
    <row r="76" spans="1:8" ht="72" x14ac:dyDescent="0.3">
      <c r="A76" t="s">
        <v>170</v>
      </c>
      <c r="B76" t="s">
        <v>238</v>
      </c>
      <c r="C76" t="s">
        <v>297</v>
      </c>
      <c r="E76" s="1"/>
      <c r="F76" t="s">
        <v>62</v>
      </c>
      <c r="G76" s="1" t="s">
        <v>298</v>
      </c>
      <c r="H76" s="1"/>
    </row>
    <row r="77" spans="1:8" ht="72" x14ac:dyDescent="0.3">
      <c r="A77" t="s">
        <v>170</v>
      </c>
      <c r="B77" t="s">
        <v>299</v>
      </c>
      <c r="C77" s="1" t="s">
        <v>300</v>
      </c>
      <c r="E77" s="1"/>
      <c r="F77" t="s">
        <v>62</v>
      </c>
      <c r="G77" s="1" t="s">
        <v>301</v>
      </c>
      <c r="H77" s="1"/>
    </row>
    <row r="78" spans="1:8" ht="72" x14ac:dyDescent="0.3">
      <c r="A78" t="s">
        <v>170</v>
      </c>
      <c r="B78" t="s">
        <v>302</v>
      </c>
      <c r="C78" s="1" t="s">
        <v>304</v>
      </c>
      <c r="E78" s="1"/>
      <c r="F78" t="s">
        <v>62</v>
      </c>
      <c r="G78" s="1" t="s">
        <v>306</v>
      </c>
      <c r="H78" s="1"/>
    </row>
    <row r="79" spans="1:8" ht="72" x14ac:dyDescent="0.3">
      <c r="A79" t="s">
        <v>170</v>
      </c>
      <c r="B79" t="s">
        <v>303</v>
      </c>
      <c r="C79" s="1" t="s">
        <v>305</v>
      </c>
      <c r="E79" s="1"/>
      <c r="F79" t="s">
        <v>62</v>
      </c>
      <c r="G79" s="1" t="s">
        <v>307</v>
      </c>
      <c r="H79" s="1"/>
    </row>
    <row r="80" spans="1:8" ht="43.2" x14ac:dyDescent="0.3">
      <c r="A80" t="s">
        <v>170</v>
      </c>
      <c r="B80" t="s">
        <v>312</v>
      </c>
      <c r="C80" s="1" t="s">
        <v>313</v>
      </c>
      <c r="E80" s="1"/>
      <c r="F80" t="s">
        <v>62</v>
      </c>
      <c r="G80" s="1" t="s">
        <v>314</v>
      </c>
      <c r="H80" s="1"/>
    </row>
    <row r="81" spans="1:8" ht="72" x14ac:dyDescent="0.3">
      <c r="A81" t="s">
        <v>170</v>
      </c>
      <c r="B81" t="s">
        <v>308</v>
      </c>
      <c r="C81" s="1" t="s">
        <v>309</v>
      </c>
      <c r="E81" s="1"/>
      <c r="F81" t="s">
        <v>62</v>
      </c>
      <c r="G81" s="1" t="s">
        <v>310</v>
      </c>
      <c r="H81" s="1"/>
    </row>
    <row r="82" spans="1:8" ht="72" x14ac:dyDescent="0.3">
      <c r="A82" t="s">
        <v>170</v>
      </c>
      <c r="B82" t="s">
        <v>311</v>
      </c>
      <c r="C82" s="1" t="s">
        <v>327</v>
      </c>
      <c r="E82" s="1"/>
      <c r="F82" t="s">
        <v>62</v>
      </c>
      <c r="G82" s="1" t="s">
        <v>315</v>
      </c>
      <c r="H82" s="1"/>
    </row>
    <row r="83" spans="1:8" ht="72" x14ac:dyDescent="0.3">
      <c r="A83" t="s">
        <v>170</v>
      </c>
      <c r="B83" t="s">
        <v>326</v>
      </c>
      <c r="C83" s="1" t="s">
        <v>328</v>
      </c>
      <c r="E83" s="1"/>
      <c r="F83" t="s">
        <v>62</v>
      </c>
      <c r="G83" s="1" t="s">
        <v>316</v>
      </c>
      <c r="H83" s="1"/>
    </row>
    <row r="84" spans="1:8" ht="72" x14ac:dyDescent="0.3">
      <c r="A84" t="s">
        <v>170</v>
      </c>
      <c r="B84" t="s">
        <v>330</v>
      </c>
      <c r="C84" s="1" t="s">
        <v>329</v>
      </c>
      <c r="E84" s="1"/>
      <c r="F84" t="s">
        <v>62</v>
      </c>
      <c r="G84" s="1" t="s">
        <v>317</v>
      </c>
      <c r="H84" s="1"/>
    </row>
    <row r="85" spans="1:8" ht="43.2" x14ac:dyDescent="0.3">
      <c r="A85" t="s">
        <v>479</v>
      </c>
      <c r="B85" t="s">
        <v>480</v>
      </c>
      <c r="C85" s="1" t="s">
        <v>481</v>
      </c>
      <c r="E85" s="1" t="s">
        <v>482</v>
      </c>
      <c r="F85" t="s">
        <v>483</v>
      </c>
      <c r="G85" s="26" t="s">
        <v>484</v>
      </c>
      <c r="H85" s="1"/>
    </row>
    <row r="86" spans="1:8" ht="72" x14ac:dyDescent="0.3">
      <c r="A86" t="s">
        <v>487</v>
      </c>
      <c r="C86" s="1" t="s">
        <v>488</v>
      </c>
      <c r="E86" s="1"/>
      <c r="F86" t="s">
        <v>62</v>
      </c>
      <c r="G86" s="1" t="s">
        <v>532</v>
      </c>
      <c r="H86" s="1"/>
    </row>
    <row r="87" spans="1:8" ht="57.6" x14ac:dyDescent="0.3">
      <c r="A87" t="s">
        <v>489</v>
      </c>
      <c r="C87" s="1" t="s">
        <v>490</v>
      </c>
      <c r="E87" s="1"/>
      <c r="F87" t="s">
        <v>62</v>
      </c>
      <c r="G87" s="1" t="s">
        <v>494</v>
      </c>
      <c r="H87" s="1"/>
    </row>
    <row r="88" spans="1:8" ht="72" x14ac:dyDescent="0.3">
      <c r="A88" t="s">
        <v>489</v>
      </c>
      <c r="C88" s="1" t="s">
        <v>492</v>
      </c>
      <c r="E88" s="1"/>
      <c r="F88" t="s">
        <v>62</v>
      </c>
      <c r="G88" s="1" t="s">
        <v>493</v>
      </c>
      <c r="H88" s="1"/>
    </row>
    <row r="89" spans="1:8" ht="86.4" x14ac:dyDescent="0.3">
      <c r="A89" t="s">
        <v>491</v>
      </c>
      <c r="C89" s="1" t="s">
        <v>490</v>
      </c>
      <c r="E89" s="1"/>
      <c r="F89" t="s">
        <v>62</v>
      </c>
      <c r="G89" s="1" t="s">
        <v>496</v>
      </c>
      <c r="H89" s="1"/>
    </row>
    <row r="90" spans="1:8" ht="43.2" x14ac:dyDescent="0.3">
      <c r="A90" t="s">
        <v>498</v>
      </c>
      <c r="C90" s="1" t="s">
        <v>490</v>
      </c>
      <c r="E90" s="1"/>
      <c r="F90" t="s">
        <v>62</v>
      </c>
      <c r="G90" s="1" t="s">
        <v>499</v>
      </c>
      <c r="H90" s="1"/>
    </row>
    <row r="91" spans="1:8" ht="72" x14ac:dyDescent="0.3">
      <c r="A91" t="s">
        <v>498</v>
      </c>
      <c r="C91" s="1" t="s">
        <v>492</v>
      </c>
      <c r="E91" s="1"/>
      <c r="F91" t="s">
        <v>62</v>
      </c>
      <c r="G91" s="1" t="s">
        <v>500</v>
      </c>
      <c r="H91" s="1"/>
    </row>
  </sheetData>
  <phoneticPr fontId="4"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2E758-8B3C-415F-AA68-24BBB4791C3A}">
  <sheetPr codeName="Sheet2"/>
  <dimension ref="A1:I33"/>
  <sheetViews>
    <sheetView topLeftCell="A14" workbookViewId="0">
      <selection activeCell="D20" sqref="D20"/>
    </sheetView>
  </sheetViews>
  <sheetFormatPr defaultColWidth="9.21875" defaultRowHeight="14.4" x14ac:dyDescent="0.3"/>
  <cols>
    <col min="1" max="1" width="18.77734375" style="25" customWidth="1"/>
    <col min="2" max="2" width="8.44140625" style="25" bestFit="1" customWidth="1"/>
    <col min="3" max="3" width="46.77734375" style="26" customWidth="1"/>
    <col min="4" max="4" width="89.21875" style="26" customWidth="1"/>
    <col min="5" max="5" width="13.44140625" style="25" bestFit="1" customWidth="1"/>
    <col min="6" max="6" width="14.21875" style="31" customWidth="1"/>
    <col min="7" max="7" width="14.77734375" style="25" customWidth="1"/>
    <col min="8" max="8" width="14.21875" style="25" customWidth="1"/>
    <col min="9" max="16384" width="9.21875" style="25"/>
  </cols>
  <sheetData>
    <row r="1" spans="1:9" x14ac:dyDescent="0.3">
      <c r="A1" s="25" t="s">
        <v>374</v>
      </c>
      <c r="B1" s="25" t="s">
        <v>70</v>
      </c>
      <c r="C1" s="26" t="s">
        <v>71</v>
      </c>
      <c r="D1" s="26" t="s">
        <v>68</v>
      </c>
      <c r="E1" s="25" t="s">
        <v>321</v>
      </c>
      <c r="F1" s="31" t="s">
        <v>319</v>
      </c>
      <c r="G1" s="31" t="s">
        <v>76</v>
      </c>
      <c r="H1" s="25" t="s">
        <v>32</v>
      </c>
      <c r="I1" s="25" t="s">
        <v>69</v>
      </c>
    </row>
    <row r="2" spans="1:9" ht="129.6" x14ac:dyDescent="0.3">
      <c r="A2" s="25" t="s">
        <v>31</v>
      </c>
      <c r="B2" s="25">
        <v>1</v>
      </c>
      <c r="C2" s="26" t="s">
        <v>366</v>
      </c>
      <c r="D2" s="26" t="s">
        <v>367</v>
      </c>
      <c r="E2" s="27"/>
      <c r="F2" s="32" t="s">
        <v>320</v>
      </c>
      <c r="G2" s="31"/>
      <c r="H2" s="26" t="s">
        <v>368</v>
      </c>
    </row>
    <row r="3" spans="1:9" ht="28.8" x14ac:dyDescent="0.3">
      <c r="A3" s="25" t="s">
        <v>31</v>
      </c>
      <c r="B3" s="25">
        <v>2</v>
      </c>
      <c r="C3" s="26" t="s">
        <v>369</v>
      </c>
      <c r="D3" s="26" t="s">
        <v>371</v>
      </c>
      <c r="E3" s="27" t="s">
        <v>25</v>
      </c>
      <c r="F3" s="32"/>
      <c r="G3" s="31"/>
      <c r="H3" s="25" t="s">
        <v>370</v>
      </c>
    </row>
    <row r="4" spans="1:9" x14ac:dyDescent="0.3">
      <c r="A4" s="25" t="s">
        <v>31</v>
      </c>
      <c r="B4" s="25">
        <v>3</v>
      </c>
      <c r="C4" s="26" t="s">
        <v>94</v>
      </c>
      <c r="D4" s="26" t="s">
        <v>338</v>
      </c>
      <c r="E4" s="29" t="s">
        <v>324</v>
      </c>
      <c r="F4" s="33" t="s">
        <v>323</v>
      </c>
      <c r="G4" s="149"/>
      <c r="H4" s="25" t="s">
        <v>341</v>
      </c>
    </row>
    <row r="5" spans="1:9" x14ac:dyDescent="0.3">
      <c r="A5" s="25" t="s">
        <v>31</v>
      </c>
      <c r="B5" s="25">
        <v>4</v>
      </c>
      <c r="C5" s="26" t="s">
        <v>72</v>
      </c>
      <c r="D5" s="26" t="s">
        <v>333</v>
      </c>
      <c r="E5" s="27"/>
      <c r="F5" s="32" t="s">
        <v>320</v>
      </c>
      <c r="G5" s="31"/>
      <c r="H5" s="25" t="s">
        <v>337</v>
      </c>
    </row>
    <row r="6" spans="1:9" x14ac:dyDescent="0.3">
      <c r="A6" s="25" t="s">
        <v>31</v>
      </c>
      <c r="B6" s="25">
        <v>5</v>
      </c>
      <c r="C6" s="26" t="s">
        <v>73</v>
      </c>
      <c r="D6" s="26" t="s">
        <v>334</v>
      </c>
      <c r="E6" s="28" t="s">
        <v>322</v>
      </c>
      <c r="F6" s="32" t="s">
        <v>320</v>
      </c>
      <c r="G6" s="31"/>
      <c r="H6" s="25" t="s">
        <v>335</v>
      </c>
    </row>
    <row r="7" spans="1:9" ht="28.8" x14ac:dyDescent="0.3">
      <c r="A7" s="25" t="s">
        <v>31</v>
      </c>
      <c r="B7" s="25">
        <v>6</v>
      </c>
      <c r="C7" s="26" t="s">
        <v>93</v>
      </c>
      <c r="D7" s="26" t="s">
        <v>332</v>
      </c>
      <c r="E7" s="27"/>
      <c r="F7" s="32" t="s">
        <v>320</v>
      </c>
      <c r="G7" s="31"/>
      <c r="H7" s="25" t="s">
        <v>336</v>
      </c>
    </row>
    <row r="8" spans="1:9" ht="28.8" x14ac:dyDescent="0.3">
      <c r="A8" s="25" t="s">
        <v>31</v>
      </c>
      <c r="B8" s="25">
        <v>7</v>
      </c>
      <c r="C8" s="26" t="s">
        <v>357</v>
      </c>
      <c r="D8" s="26" t="s">
        <v>358</v>
      </c>
      <c r="E8" s="27"/>
      <c r="F8" s="32" t="s">
        <v>320</v>
      </c>
      <c r="G8" s="31"/>
      <c r="H8" s="25" t="s">
        <v>359</v>
      </c>
    </row>
    <row r="9" spans="1:9" ht="28.8" x14ac:dyDescent="0.3">
      <c r="A9" s="25" t="s">
        <v>31</v>
      </c>
      <c r="B9" s="25">
        <v>8</v>
      </c>
      <c r="C9" s="26" t="s">
        <v>360</v>
      </c>
      <c r="D9" s="26" t="s">
        <v>361</v>
      </c>
      <c r="E9" s="35" t="s">
        <v>352</v>
      </c>
      <c r="F9" s="36" t="s">
        <v>350</v>
      </c>
      <c r="G9" s="31"/>
      <c r="H9" s="25" t="s">
        <v>359</v>
      </c>
    </row>
    <row r="10" spans="1:9" x14ac:dyDescent="0.3">
      <c r="A10" s="25" t="s">
        <v>31</v>
      </c>
      <c r="B10" s="25">
        <v>9</v>
      </c>
      <c r="C10" s="26" t="s">
        <v>95</v>
      </c>
      <c r="D10" s="26" t="s">
        <v>339</v>
      </c>
      <c r="E10" s="27"/>
      <c r="F10" s="32" t="s">
        <v>320</v>
      </c>
      <c r="G10" s="31"/>
      <c r="H10" s="25" t="s">
        <v>340</v>
      </c>
    </row>
    <row r="11" spans="1:9" x14ac:dyDescent="0.3">
      <c r="A11" s="25" t="s">
        <v>31</v>
      </c>
      <c r="B11" s="25">
        <v>10</v>
      </c>
      <c r="C11" s="26" t="s">
        <v>96</v>
      </c>
      <c r="D11" s="26" t="s">
        <v>342</v>
      </c>
      <c r="E11" s="27"/>
      <c r="F11" s="32" t="s">
        <v>320</v>
      </c>
      <c r="G11" s="31"/>
      <c r="H11" s="25" t="s">
        <v>344</v>
      </c>
    </row>
    <row r="12" spans="1:9" x14ac:dyDescent="0.3">
      <c r="A12" s="25" t="s">
        <v>31</v>
      </c>
      <c r="B12" s="25">
        <v>11</v>
      </c>
      <c r="C12" s="26" t="s">
        <v>100</v>
      </c>
      <c r="D12" s="26" t="s">
        <v>356</v>
      </c>
      <c r="E12" s="29" t="s">
        <v>324</v>
      </c>
      <c r="F12" s="33" t="s">
        <v>323</v>
      </c>
      <c r="G12" s="149"/>
      <c r="H12" s="25" t="s">
        <v>355</v>
      </c>
    </row>
    <row r="13" spans="1:9" x14ac:dyDescent="0.3">
      <c r="A13" s="25" t="s">
        <v>31</v>
      </c>
      <c r="B13" s="25">
        <v>12</v>
      </c>
      <c r="C13" s="26" t="s">
        <v>97</v>
      </c>
      <c r="D13" s="26" t="s">
        <v>343</v>
      </c>
      <c r="E13" s="27"/>
      <c r="F13" s="32" t="s">
        <v>320</v>
      </c>
      <c r="G13" s="31"/>
      <c r="H13" s="25" t="s">
        <v>345</v>
      </c>
    </row>
    <row r="14" spans="1:9" ht="100.8" x14ac:dyDescent="0.3">
      <c r="A14" s="25" t="s">
        <v>31</v>
      </c>
      <c r="B14" s="25">
        <v>13</v>
      </c>
      <c r="C14" s="26" t="s">
        <v>353</v>
      </c>
      <c r="D14" s="26" t="s">
        <v>351</v>
      </c>
      <c r="E14" s="35" t="s">
        <v>352</v>
      </c>
      <c r="F14" s="36" t="s">
        <v>350</v>
      </c>
      <c r="G14" s="31"/>
      <c r="H14" s="25" t="s">
        <v>349</v>
      </c>
    </row>
    <row r="15" spans="1:9" x14ac:dyDescent="0.3">
      <c r="A15" s="25" t="s">
        <v>31</v>
      </c>
      <c r="B15" s="25">
        <v>14</v>
      </c>
      <c r="C15" s="26" t="s">
        <v>347</v>
      </c>
      <c r="D15" s="26" t="s">
        <v>346</v>
      </c>
      <c r="E15" s="29" t="s">
        <v>324</v>
      </c>
      <c r="F15" s="33" t="s">
        <v>323</v>
      </c>
      <c r="G15" s="149"/>
      <c r="H15" s="25" t="s">
        <v>348</v>
      </c>
    </row>
    <row r="16" spans="1:9" x14ac:dyDescent="0.3">
      <c r="A16" s="25" t="s">
        <v>31</v>
      </c>
      <c r="B16" s="25">
        <v>15</v>
      </c>
      <c r="C16" s="26" t="s">
        <v>98</v>
      </c>
      <c r="D16" s="26" t="s">
        <v>346</v>
      </c>
      <c r="E16" s="30"/>
      <c r="F16" s="34" t="s">
        <v>325</v>
      </c>
      <c r="G16" s="31"/>
      <c r="H16" s="25" t="s">
        <v>354</v>
      </c>
    </row>
    <row r="17" spans="1:8" ht="28.8" x14ac:dyDescent="0.3">
      <c r="A17" s="25" t="s">
        <v>31</v>
      </c>
      <c r="B17" s="25">
        <v>16</v>
      </c>
      <c r="C17" s="26" t="s">
        <v>529</v>
      </c>
      <c r="D17" s="26" t="s">
        <v>528</v>
      </c>
      <c r="E17" s="27" t="s">
        <v>25</v>
      </c>
      <c r="F17" s="32"/>
      <c r="G17" s="31"/>
      <c r="H17" s="25" t="s">
        <v>372</v>
      </c>
    </row>
    <row r="18" spans="1:8" ht="28.8" x14ac:dyDescent="0.3">
      <c r="A18" s="25" t="s">
        <v>31</v>
      </c>
      <c r="B18" s="25">
        <v>17</v>
      </c>
      <c r="C18" s="26" t="s">
        <v>318</v>
      </c>
      <c r="D18" s="26" t="s">
        <v>362</v>
      </c>
      <c r="E18" s="27"/>
      <c r="F18" s="32" t="s">
        <v>320</v>
      </c>
      <c r="G18" s="31"/>
      <c r="H18" s="25" t="s">
        <v>363</v>
      </c>
    </row>
    <row r="19" spans="1:8" ht="43.2" x14ac:dyDescent="0.3">
      <c r="A19" s="25" t="s">
        <v>31</v>
      </c>
      <c r="B19" s="25">
        <v>18</v>
      </c>
      <c r="C19" s="26" t="s">
        <v>99</v>
      </c>
      <c r="D19" s="26" t="s">
        <v>364</v>
      </c>
      <c r="E19" s="27"/>
      <c r="F19" s="32" t="s">
        <v>320</v>
      </c>
      <c r="G19" s="31"/>
      <c r="H19" s="25" t="s">
        <v>365</v>
      </c>
    </row>
    <row r="20" spans="1:8" ht="43.2" x14ac:dyDescent="0.3">
      <c r="A20" s="25" t="s">
        <v>170</v>
      </c>
      <c r="B20" s="25">
        <v>1</v>
      </c>
      <c r="C20" s="26" t="s">
        <v>376</v>
      </c>
      <c r="D20" s="26" t="s">
        <v>375</v>
      </c>
      <c r="E20" s="27"/>
      <c r="F20" s="32" t="s">
        <v>320</v>
      </c>
      <c r="G20" s="31"/>
      <c r="H20" s="26" t="s">
        <v>377</v>
      </c>
    </row>
    <row r="21" spans="1:8" ht="28.8" x14ac:dyDescent="0.3">
      <c r="A21" s="25" t="s">
        <v>170</v>
      </c>
      <c r="B21" s="25">
        <v>2</v>
      </c>
      <c r="C21" s="26" t="s">
        <v>403</v>
      </c>
      <c r="D21" s="26" t="s">
        <v>400</v>
      </c>
      <c r="E21" s="27"/>
      <c r="F21" s="32" t="s">
        <v>320</v>
      </c>
      <c r="G21" s="31"/>
      <c r="H21" s="25" t="s">
        <v>401</v>
      </c>
    </row>
    <row r="22" spans="1:8" ht="28.8" x14ac:dyDescent="0.3">
      <c r="A22" s="25" t="s">
        <v>170</v>
      </c>
      <c r="B22" s="25">
        <v>3</v>
      </c>
      <c r="C22" s="26" t="s">
        <v>404</v>
      </c>
      <c r="D22" s="26" t="s">
        <v>400</v>
      </c>
      <c r="E22" s="37"/>
      <c r="F22" s="38" t="s">
        <v>399</v>
      </c>
      <c r="G22" s="31"/>
      <c r="H22" s="25" t="s">
        <v>402</v>
      </c>
    </row>
    <row r="23" spans="1:8" ht="28.8" x14ac:dyDescent="0.3">
      <c r="A23" s="25" t="s">
        <v>170</v>
      </c>
      <c r="B23" s="25">
        <v>4</v>
      </c>
      <c r="C23" s="26" t="s">
        <v>405</v>
      </c>
      <c r="D23" s="26" t="s">
        <v>406</v>
      </c>
      <c r="E23" s="27"/>
      <c r="F23" s="32" t="s">
        <v>320</v>
      </c>
      <c r="G23" s="31"/>
      <c r="H23" s="25" t="s">
        <v>407</v>
      </c>
    </row>
    <row r="24" spans="1:8" ht="43.2" x14ac:dyDescent="0.3">
      <c r="A24" s="25" t="s">
        <v>513</v>
      </c>
      <c r="B24" s="25">
        <v>1</v>
      </c>
      <c r="C24" s="26" t="s">
        <v>514</v>
      </c>
      <c r="D24" s="26" t="s">
        <v>650</v>
      </c>
      <c r="E24" s="135" t="s">
        <v>516</v>
      </c>
      <c r="F24" s="134" t="s">
        <v>515</v>
      </c>
      <c r="G24" s="150"/>
      <c r="H24" s="25" t="s">
        <v>652</v>
      </c>
    </row>
    <row r="25" spans="1:8" ht="28.8" x14ac:dyDescent="0.3">
      <c r="A25" s="25" t="s">
        <v>513</v>
      </c>
      <c r="B25" s="25">
        <v>2</v>
      </c>
      <c r="C25" s="26" t="s">
        <v>517</v>
      </c>
      <c r="D25" s="26" t="s">
        <v>651</v>
      </c>
      <c r="E25" s="135" t="s">
        <v>516</v>
      </c>
      <c r="F25" s="134" t="s">
        <v>515</v>
      </c>
      <c r="G25" s="150"/>
      <c r="H25" s="25" t="s">
        <v>653</v>
      </c>
    </row>
    <row r="26" spans="1:8" x14ac:dyDescent="0.3">
      <c r="A26" s="25" t="s">
        <v>538</v>
      </c>
      <c r="B26" s="25">
        <v>1</v>
      </c>
      <c r="C26" s="26" t="s">
        <v>540</v>
      </c>
      <c r="D26" s="26" t="s">
        <v>539</v>
      </c>
      <c r="F26" s="38" t="s">
        <v>399</v>
      </c>
      <c r="G26" s="31"/>
      <c r="H26" s="25" t="s">
        <v>541</v>
      </c>
    </row>
    <row r="27" spans="1:8" x14ac:dyDescent="0.3">
      <c r="A27" s="25" t="s">
        <v>538</v>
      </c>
      <c r="B27" s="25">
        <v>2</v>
      </c>
      <c r="C27" s="26" t="s">
        <v>543</v>
      </c>
      <c r="D27" s="26" t="s">
        <v>542</v>
      </c>
      <c r="F27" s="148" t="s">
        <v>546</v>
      </c>
      <c r="G27" s="31"/>
      <c r="H27" s="25" t="s">
        <v>547</v>
      </c>
    </row>
    <row r="28" spans="1:8" x14ac:dyDescent="0.3">
      <c r="A28" s="25" t="s">
        <v>538</v>
      </c>
      <c r="B28" s="25">
        <v>3</v>
      </c>
      <c r="C28" s="26" t="s">
        <v>543</v>
      </c>
      <c r="D28" s="26" t="s">
        <v>544</v>
      </c>
      <c r="F28" s="151" t="s">
        <v>545</v>
      </c>
      <c r="G28" s="31"/>
      <c r="H28" s="25" t="s">
        <v>548</v>
      </c>
    </row>
    <row r="29" spans="1:8" ht="28.8" x14ac:dyDescent="0.3">
      <c r="A29" s="25" t="s">
        <v>538</v>
      </c>
      <c r="B29" s="25">
        <v>4</v>
      </c>
      <c r="C29" s="26" t="s">
        <v>543</v>
      </c>
      <c r="F29" s="152"/>
      <c r="G29" s="153" t="s">
        <v>550</v>
      </c>
      <c r="H29" s="25" t="s">
        <v>549</v>
      </c>
    </row>
    <row r="30" spans="1:8" ht="72" x14ac:dyDescent="0.3">
      <c r="A30" s="25" t="s">
        <v>538</v>
      </c>
      <c r="B30" s="25">
        <v>5</v>
      </c>
      <c r="C30" s="26" t="s">
        <v>553</v>
      </c>
      <c r="D30" s="154" t="s">
        <v>551</v>
      </c>
      <c r="G30" s="153" t="s">
        <v>551</v>
      </c>
      <c r="H30" s="25" t="s">
        <v>552</v>
      </c>
    </row>
    <row r="33" spans="1:1" x14ac:dyDescent="0.3">
      <c r="A33" s="25" t="s">
        <v>373</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2612-A2B8-4BFA-AF33-2C968205A563}">
  <sheetPr codeName="Sheet3">
    <tabColor theme="2" tint="-0.749992370372631"/>
  </sheetPr>
  <dimension ref="A1:I43"/>
  <sheetViews>
    <sheetView workbookViewId="0">
      <selection activeCell="D12" sqref="D12"/>
    </sheetView>
  </sheetViews>
  <sheetFormatPr defaultRowHeight="14.4" x14ac:dyDescent="0.3"/>
  <cols>
    <col min="1" max="1" width="17.77734375" bestFit="1" customWidth="1"/>
    <col min="3" max="3" width="31.77734375" customWidth="1"/>
    <col min="4" max="4" width="11.21875" bestFit="1" customWidth="1"/>
    <col min="7" max="7" width="15.44140625" customWidth="1"/>
    <col min="9" max="9" width="26.5546875" customWidth="1"/>
  </cols>
  <sheetData>
    <row r="1" spans="1:9" x14ac:dyDescent="0.3">
      <c r="A1" t="s">
        <v>19</v>
      </c>
      <c r="C1" t="s">
        <v>378</v>
      </c>
      <c r="D1" t="s">
        <v>379</v>
      </c>
      <c r="E1" t="s">
        <v>380</v>
      </c>
      <c r="F1" t="s">
        <v>381</v>
      </c>
      <c r="G1" t="s">
        <v>382</v>
      </c>
      <c r="I1" t="s">
        <v>615</v>
      </c>
    </row>
    <row r="2" spans="1:9" x14ac:dyDescent="0.3">
      <c r="A2" t="s">
        <v>74</v>
      </c>
      <c r="C2" t="s">
        <v>383</v>
      </c>
      <c r="D2" t="s">
        <v>396</v>
      </c>
      <c r="E2">
        <v>3</v>
      </c>
      <c r="F2">
        <v>8</v>
      </c>
      <c r="G2">
        <v>8</v>
      </c>
      <c r="I2" t="s">
        <v>616</v>
      </c>
    </row>
    <row r="3" spans="1:9" x14ac:dyDescent="0.3">
      <c r="A3" t="s">
        <v>75</v>
      </c>
      <c r="C3" t="s">
        <v>384</v>
      </c>
      <c r="D3" t="s">
        <v>396</v>
      </c>
      <c r="E3">
        <v>3</v>
      </c>
      <c r="F3">
        <v>8</v>
      </c>
      <c r="G3">
        <v>8</v>
      </c>
      <c r="I3" t="s">
        <v>646</v>
      </c>
    </row>
    <row r="4" spans="1:9" x14ac:dyDescent="0.3">
      <c r="A4" t="s">
        <v>596</v>
      </c>
      <c r="C4" t="s">
        <v>385</v>
      </c>
      <c r="D4" t="s">
        <v>396</v>
      </c>
      <c r="E4">
        <v>3</v>
      </c>
      <c r="F4">
        <v>8</v>
      </c>
      <c r="G4">
        <v>8</v>
      </c>
      <c r="I4" t="s">
        <v>620</v>
      </c>
    </row>
    <row r="5" spans="1:9" x14ac:dyDescent="0.3">
      <c r="A5" t="s">
        <v>597</v>
      </c>
      <c r="C5" t="s">
        <v>386</v>
      </c>
      <c r="D5" t="s">
        <v>396</v>
      </c>
      <c r="E5">
        <v>3</v>
      </c>
      <c r="F5">
        <v>8</v>
      </c>
      <c r="G5">
        <v>8</v>
      </c>
      <c r="I5" t="s">
        <v>617</v>
      </c>
    </row>
    <row r="6" spans="1:9" x14ac:dyDescent="0.3">
      <c r="A6" t="s">
        <v>595</v>
      </c>
      <c r="C6" t="s">
        <v>387</v>
      </c>
      <c r="D6" t="s">
        <v>396</v>
      </c>
      <c r="E6">
        <v>3</v>
      </c>
      <c r="F6">
        <v>8</v>
      </c>
      <c r="G6">
        <v>8</v>
      </c>
      <c r="I6" t="s">
        <v>618</v>
      </c>
    </row>
    <row r="7" spans="1:9" x14ac:dyDescent="0.3">
      <c r="C7" t="s">
        <v>388</v>
      </c>
      <c r="D7" t="s">
        <v>396</v>
      </c>
      <c r="E7">
        <v>3</v>
      </c>
      <c r="F7">
        <v>8</v>
      </c>
      <c r="G7">
        <v>8</v>
      </c>
      <c r="I7" t="s">
        <v>619</v>
      </c>
    </row>
    <row r="8" spans="1:9" x14ac:dyDescent="0.3">
      <c r="A8" t="s">
        <v>78</v>
      </c>
      <c r="C8" t="s">
        <v>389</v>
      </c>
      <c r="D8" t="s">
        <v>396</v>
      </c>
      <c r="E8">
        <v>3</v>
      </c>
      <c r="F8">
        <v>8</v>
      </c>
      <c r="G8">
        <v>8</v>
      </c>
      <c r="I8" t="s">
        <v>621</v>
      </c>
    </row>
    <row r="9" spans="1:9" x14ac:dyDescent="0.3">
      <c r="A9" t="s">
        <v>63</v>
      </c>
      <c r="C9" t="s">
        <v>390</v>
      </c>
      <c r="D9" t="s">
        <v>396</v>
      </c>
      <c r="E9">
        <v>3</v>
      </c>
      <c r="F9">
        <v>8</v>
      </c>
      <c r="G9">
        <v>8</v>
      </c>
      <c r="I9" t="s">
        <v>622</v>
      </c>
    </row>
    <row r="10" spans="1:9" x14ac:dyDescent="0.3">
      <c r="A10" t="s">
        <v>555</v>
      </c>
      <c r="C10" t="s">
        <v>391</v>
      </c>
      <c r="D10" t="s">
        <v>396</v>
      </c>
      <c r="E10">
        <v>3</v>
      </c>
      <c r="F10">
        <v>8</v>
      </c>
      <c r="G10">
        <v>8</v>
      </c>
      <c r="I10" t="s">
        <v>623</v>
      </c>
    </row>
    <row r="11" spans="1:9" x14ac:dyDescent="0.3">
      <c r="A11" t="s">
        <v>79</v>
      </c>
      <c r="C11" t="s">
        <v>739</v>
      </c>
      <c r="D11" t="s">
        <v>396</v>
      </c>
      <c r="E11">
        <v>3</v>
      </c>
      <c r="F11">
        <v>8</v>
      </c>
      <c r="G11">
        <v>8</v>
      </c>
      <c r="I11" t="s">
        <v>624</v>
      </c>
    </row>
    <row r="12" spans="1:9" x14ac:dyDescent="0.3">
      <c r="A12" t="s">
        <v>614</v>
      </c>
      <c r="C12" t="s">
        <v>392</v>
      </c>
      <c r="D12" t="s">
        <v>398</v>
      </c>
      <c r="E12">
        <v>7</v>
      </c>
      <c r="F12">
        <v>7</v>
      </c>
      <c r="G12">
        <v>7</v>
      </c>
      <c r="I12" t="s">
        <v>625</v>
      </c>
    </row>
    <row r="13" spans="1:9" x14ac:dyDescent="0.3">
      <c r="A13" t="s">
        <v>80</v>
      </c>
      <c r="C13" t="s">
        <v>393</v>
      </c>
      <c r="D13" t="s">
        <v>397</v>
      </c>
      <c r="F13">
        <v>6</v>
      </c>
      <c r="I13" t="s">
        <v>626</v>
      </c>
    </row>
    <row r="14" spans="1:9" x14ac:dyDescent="0.3">
      <c r="C14" t="s">
        <v>394</v>
      </c>
      <c r="D14" t="s">
        <v>397</v>
      </c>
      <c r="F14">
        <v>14</v>
      </c>
    </row>
    <row r="15" spans="1:9" x14ac:dyDescent="0.3">
      <c r="C15" t="s">
        <v>395</v>
      </c>
      <c r="D15" t="s">
        <v>397</v>
      </c>
      <c r="F15">
        <v>6</v>
      </c>
    </row>
    <row r="16" spans="1:9" x14ac:dyDescent="0.3">
      <c r="A16" t="s">
        <v>14</v>
      </c>
    </row>
    <row r="17" spans="1:7" x14ac:dyDescent="0.3">
      <c r="A17" t="s">
        <v>83</v>
      </c>
      <c r="C17" t="s">
        <v>718</v>
      </c>
    </row>
    <row r="18" spans="1:7" x14ac:dyDescent="0.3">
      <c r="A18" t="s">
        <v>84</v>
      </c>
      <c r="C18" t="s">
        <v>183</v>
      </c>
      <c r="E18" t="str">
        <f>IFERROR(_xlfn.XLOOKUP(Organism,Agent[Agent],Agent[LDW]),"")</f>
        <v/>
      </c>
      <c r="F18" t="str">
        <f>IFERROR(_xlfn.XLOOKUP(Organism,Agent[Agent],Agent[Day 0]),"")</f>
        <v/>
      </c>
      <c r="G18" t="str">
        <f>IFERROR(_xlfn.XLOOKUP(Organism,Agent[Agent],Agent[Isolation Start]),"")</f>
        <v/>
      </c>
    </row>
    <row r="19" spans="1:7" x14ac:dyDescent="0.3">
      <c r="A19" t="s">
        <v>85</v>
      </c>
      <c r="C19" t="s">
        <v>719</v>
      </c>
      <c r="E19" t="str">
        <f>IFERROR(_xlfn.XLOOKUP(Organism2,Agent[Agent],Agent[LDW]),"")</f>
        <v/>
      </c>
      <c r="F19" t="str">
        <f>IFERROR(_xlfn.XLOOKUP(Organism2,Agent[Agent],Agent[Day 0]),"")</f>
        <v/>
      </c>
      <c r="G19" t="str">
        <f>IFERROR(_xlfn.XLOOKUP(Organism2,Agent[Agent],Agent[Isolation Start]),"")</f>
        <v/>
      </c>
    </row>
    <row r="20" spans="1:7" x14ac:dyDescent="0.3">
      <c r="A20" t="s">
        <v>86</v>
      </c>
      <c r="C20" t="s">
        <v>720</v>
      </c>
      <c r="E20" t="str">
        <f>IFERROR(_xlfn.XLOOKUP(Organism3,Agent[Agent],Agent[LDW]),"")</f>
        <v/>
      </c>
      <c r="F20" t="str">
        <f>IFERROR(_xlfn.XLOOKUP(Organism3,Agent[Agent],Agent[Day 0]),"")</f>
        <v/>
      </c>
      <c r="G20" t="str">
        <f>IFERROR(_xlfn.XLOOKUP(Organism3,Agent[Agent],Agent[Isolation Start]),"")</f>
        <v/>
      </c>
    </row>
    <row r="21" spans="1:7" x14ac:dyDescent="0.3">
      <c r="A21" t="s">
        <v>82</v>
      </c>
    </row>
    <row r="22" spans="1:7" x14ac:dyDescent="0.3">
      <c r="A22" t="s">
        <v>87</v>
      </c>
      <c r="C22" t="s">
        <v>721</v>
      </c>
      <c r="E22">
        <f>MAX(E18:E20)</f>
        <v>0</v>
      </c>
      <c r="F22">
        <f>MAX(F18:F20)</f>
        <v>0</v>
      </c>
      <c r="G22">
        <f>MAX(G18:G20)</f>
        <v>0</v>
      </c>
    </row>
    <row r="23" spans="1:7" x14ac:dyDescent="0.3">
      <c r="A23" t="s">
        <v>88</v>
      </c>
    </row>
    <row r="24" spans="1:7" x14ac:dyDescent="0.3">
      <c r="A24" t="s">
        <v>89</v>
      </c>
    </row>
    <row r="25" spans="1:7" x14ac:dyDescent="0.3">
      <c r="A25" t="s">
        <v>76</v>
      </c>
    </row>
    <row r="27" spans="1:7" x14ac:dyDescent="0.3">
      <c r="A27" t="s">
        <v>101</v>
      </c>
    </row>
    <row r="28" spans="1:7" x14ac:dyDescent="0.3">
      <c r="A28" t="s">
        <v>102</v>
      </c>
    </row>
    <row r="29" spans="1:7" x14ac:dyDescent="0.3">
      <c r="A29" t="s">
        <v>103</v>
      </c>
    </row>
    <row r="30" spans="1:7" x14ac:dyDescent="0.3">
      <c r="A30" t="s">
        <v>104</v>
      </c>
    </row>
    <row r="31" spans="1:7" x14ac:dyDescent="0.3">
      <c r="A31" t="s">
        <v>105</v>
      </c>
    </row>
    <row r="33" spans="1:1" x14ac:dyDescent="0.3">
      <c r="A33" t="s">
        <v>599</v>
      </c>
    </row>
    <row r="34" spans="1:1" x14ac:dyDescent="0.3">
      <c r="A34" t="s">
        <v>600</v>
      </c>
    </row>
    <row r="35" spans="1:1" x14ac:dyDescent="0.3">
      <c r="A35" t="s">
        <v>601</v>
      </c>
    </row>
    <row r="36" spans="1:1" x14ac:dyDescent="0.3">
      <c r="A36" t="s">
        <v>602</v>
      </c>
    </row>
    <row r="37" spans="1:1" x14ac:dyDescent="0.3">
      <c r="A37" t="s">
        <v>649</v>
      </c>
    </row>
    <row r="38" spans="1:1" x14ac:dyDescent="0.3">
      <c r="A38" t="s">
        <v>648</v>
      </c>
    </row>
    <row r="39" spans="1:1" x14ac:dyDescent="0.3">
      <c r="A39" t="s">
        <v>603</v>
      </c>
    </row>
    <row r="40" spans="1:1" x14ac:dyDescent="0.3">
      <c r="A40" t="s">
        <v>604</v>
      </c>
    </row>
    <row r="41" spans="1:1" x14ac:dyDescent="0.3">
      <c r="A41" t="s">
        <v>605</v>
      </c>
    </row>
    <row r="42" spans="1:1" x14ac:dyDescent="0.3">
      <c r="A42" t="s">
        <v>606</v>
      </c>
    </row>
    <row r="43" spans="1:1" x14ac:dyDescent="0.3">
      <c r="A43" t="s">
        <v>607</v>
      </c>
    </row>
  </sheetData>
  <pageMargins left="0.7" right="0.7" top="0.75" bottom="0.75" header="0.3" footer="0.3"/>
  <tableParts count="7">
    <tablePart r:id="rId1"/>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41C9E-CB08-44A6-B6E4-19EA1D7790F7}">
  <sheetPr codeName="Sheet4">
    <tabColor theme="8"/>
  </sheetPr>
  <dimension ref="A1:E34"/>
  <sheetViews>
    <sheetView showGridLines="0" showRowColHeaders="0" workbookViewId="0">
      <selection activeCell="D4" sqref="D4"/>
    </sheetView>
  </sheetViews>
  <sheetFormatPr defaultRowHeight="14.4" x14ac:dyDescent="0.3"/>
  <cols>
    <col min="1" max="1" width="2.77734375" customWidth="1"/>
    <col min="2" max="2" width="97.21875" customWidth="1"/>
    <col min="3" max="3" width="15.77734375" customWidth="1"/>
    <col min="4" max="4" width="42.77734375" customWidth="1"/>
    <col min="5" max="5" width="15.77734375" customWidth="1"/>
  </cols>
  <sheetData>
    <row r="1" spans="1:5" x14ac:dyDescent="0.3">
      <c r="A1" s="84" t="s">
        <v>518</v>
      </c>
    </row>
    <row r="2" spans="1:5" ht="25.8" x14ac:dyDescent="0.5">
      <c r="B2" s="143" t="s">
        <v>530</v>
      </c>
      <c r="C2" s="118"/>
      <c r="D2" s="118"/>
      <c r="E2" s="118"/>
    </row>
    <row r="3" spans="1:5" ht="15" customHeight="1" x14ac:dyDescent="0.5">
      <c r="B3" s="143"/>
      <c r="C3" s="118"/>
      <c r="D3" s="118"/>
      <c r="E3" s="118"/>
    </row>
    <row r="4" spans="1:5" ht="30" customHeight="1" x14ac:dyDescent="0.3">
      <c r="B4" s="173" t="s">
        <v>776</v>
      </c>
      <c r="C4" s="142"/>
      <c r="D4" s="118"/>
      <c r="E4" s="118"/>
    </row>
    <row r="5" spans="1:5" ht="15" customHeight="1" x14ac:dyDescent="0.5">
      <c r="B5" s="117"/>
      <c r="C5" s="118"/>
      <c r="D5" s="118"/>
      <c r="E5" s="118"/>
    </row>
    <row r="6" spans="1:5" x14ac:dyDescent="0.3">
      <c r="B6" s="132" t="s">
        <v>502</v>
      </c>
      <c r="C6" s="118"/>
      <c r="D6" s="118"/>
      <c r="E6" s="118"/>
    </row>
    <row r="7" spans="1:5" ht="45" customHeight="1" x14ac:dyDescent="0.3">
      <c r="B7" s="88" t="s">
        <v>777</v>
      </c>
      <c r="C7" s="118"/>
    </row>
    <row r="8" spans="1:5" x14ac:dyDescent="0.3">
      <c r="B8" s="88"/>
      <c r="C8" s="118"/>
    </row>
    <row r="9" spans="1:5" x14ac:dyDescent="0.3">
      <c r="B9" s="119" t="s">
        <v>503</v>
      </c>
      <c r="C9" s="118"/>
    </row>
    <row r="10" spans="1:5" ht="28.8" x14ac:dyDescent="0.3">
      <c r="B10" s="120" t="s">
        <v>554</v>
      </c>
      <c r="C10" s="118"/>
    </row>
    <row r="11" spans="1:5" x14ac:dyDescent="0.3">
      <c r="B11" s="118"/>
      <c r="C11" s="118"/>
    </row>
    <row r="12" spans="1:5" x14ac:dyDescent="0.3">
      <c r="B12" s="119" t="s">
        <v>509</v>
      </c>
    </row>
    <row r="13" spans="1:5" ht="28.8" x14ac:dyDescent="0.3">
      <c r="B13" s="85" t="s">
        <v>740</v>
      </c>
    </row>
    <row r="14" spans="1:5" x14ac:dyDescent="0.3">
      <c r="B14" s="118"/>
    </row>
    <row r="15" spans="1:5" x14ac:dyDescent="0.3">
      <c r="B15" s="130" t="s">
        <v>519</v>
      </c>
    </row>
    <row r="16" spans="1:5" ht="43.2" x14ac:dyDescent="0.3">
      <c r="B16" s="129" t="s">
        <v>510</v>
      </c>
    </row>
    <row r="17" spans="2:4" x14ac:dyDescent="0.3">
      <c r="D17" s="3"/>
    </row>
    <row r="18" spans="2:4" x14ac:dyDescent="0.3">
      <c r="B18" s="155" t="s">
        <v>504</v>
      </c>
      <c r="C18" s="122" t="s">
        <v>526</v>
      </c>
      <c r="D18" s="3"/>
    </row>
    <row r="19" spans="2:4" x14ac:dyDescent="0.3">
      <c r="B19" s="123" t="s">
        <v>505</v>
      </c>
      <c r="C19" s="116">
        <f>COUNTA(LL[Reason for Line Listing])</f>
        <v>0</v>
      </c>
      <c r="D19" s="3"/>
    </row>
    <row r="20" spans="2:4" x14ac:dyDescent="0.3">
      <c r="B20" s="123" t="s">
        <v>506</v>
      </c>
      <c r="C20" s="127">
        <f>'Basic Information'!D3</f>
        <v>17</v>
      </c>
      <c r="D20" s="3"/>
    </row>
    <row r="21" spans="2:4" x14ac:dyDescent="0.3">
      <c r="B21" s="123" t="s">
        <v>508</v>
      </c>
      <c r="C21" s="116">
        <f>'Outbreak Checklist'!B105</f>
        <v>85</v>
      </c>
      <c r="D21" s="3"/>
    </row>
    <row r="22" spans="2:4" x14ac:dyDescent="0.3">
      <c r="B22" s="123" t="s">
        <v>741</v>
      </c>
      <c r="C22" s="116" t="str">
        <f>IF(ISBLANK('Summary P1'!A23),"To Complete","")</f>
        <v>To Complete</v>
      </c>
      <c r="D22" s="3"/>
    </row>
    <row r="23" spans="2:4" x14ac:dyDescent="0.3">
      <c r="B23" s="123" t="s">
        <v>742</v>
      </c>
      <c r="C23" s="128" t="str">
        <f>IF(ISBLANK('Summary P2'!A5),"To Complete","")</f>
        <v>To Complete</v>
      </c>
      <c r="D23" s="3"/>
    </row>
    <row r="24" spans="2:4" x14ac:dyDescent="0.3">
      <c r="B24" s="123" t="s">
        <v>743</v>
      </c>
      <c r="C24" s="128" t="str">
        <f>IF(ISBLANK('Summary P2'!A8),"To Complete","")</f>
        <v>To Complete</v>
      </c>
      <c r="D24" s="3"/>
    </row>
    <row r="25" spans="2:4" x14ac:dyDescent="0.3">
      <c r="B25" s="123" t="s">
        <v>495</v>
      </c>
      <c r="C25" s="128" t="str">
        <f>IF(ISBLANK('Summary P3'!A5),"To Complete","")</f>
        <v>To Complete</v>
      </c>
      <c r="D25" s="3"/>
    </row>
    <row r="26" spans="2:4" x14ac:dyDescent="0.3">
      <c r="B26" s="123" t="s">
        <v>744</v>
      </c>
      <c r="C26" s="128" t="str">
        <f>IF(ISBLANK('Summary P4'!A5),"To Complete","")</f>
        <v>To Complete</v>
      </c>
      <c r="D26" s="3"/>
    </row>
    <row r="27" spans="2:4" x14ac:dyDescent="0.3">
      <c r="B27" s="123" t="s">
        <v>497</v>
      </c>
      <c r="C27" s="128" t="str">
        <f>IF(ISBLANK('Summary P4'!A8),"To Complete","")</f>
        <v>To Complete</v>
      </c>
      <c r="D27" s="3"/>
    </row>
    <row r="28" spans="2:4" hidden="1" x14ac:dyDescent="0.3">
      <c r="B28" s="123" t="s">
        <v>745</v>
      </c>
      <c r="C28" s="102" t="str">
        <f>IF('iPHIS Outbreak Report'!C58=0,"To Complete","")</f>
        <v>To Complete</v>
      </c>
    </row>
    <row r="30" spans="2:4" x14ac:dyDescent="0.3">
      <c r="B30" s="131" t="s">
        <v>511</v>
      </c>
    </row>
    <row r="31" spans="2:4" ht="57.6" x14ac:dyDescent="0.3">
      <c r="B31" s="129" t="s">
        <v>773</v>
      </c>
    </row>
    <row r="32" spans="2:4" x14ac:dyDescent="0.3">
      <c r="B32" s="121"/>
    </row>
    <row r="33" spans="2:2" x14ac:dyDescent="0.3">
      <c r="B33" s="133" t="s">
        <v>512</v>
      </c>
    </row>
    <row r="34" spans="2:2" ht="43.2" x14ac:dyDescent="0.3">
      <c r="B34" s="85" t="s">
        <v>746</v>
      </c>
    </row>
  </sheetData>
  <conditionalFormatting sqref="C20:C21">
    <cfRule type="expression" dxfId="45" priority="1">
      <formula>C20&gt;0</formula>
    </cfRule>
  </conditionalFormatting>
  <conditionalFormatting sqref="C22:C29">
    <cfRule type="expression" dxfId="44" priority="2">
      <formula>C22="To Complete"</formula>
    </cfRule>
  </conditionalFormatting>
  <hyperlinks>
    <hyperlink ref="B6" location="'Line List'!A1" display="Line List (click to open)" xr:uid="{B8AEE4A6-081F-4BE6-B3C2-5775F0C4F733}"/>
    <hyperlink ref="B9" location="'Basic Information'!A1" display="Basic Information (click to open)" xr:uid="{988AC4B8-FE38-42AC-8E33-CDD041ADF837}"/>
    <hyperlink ref="B12" location="'Outbreak Checklist'!A1" display="Outbreak Checklist (click to open)" xr:uid="{8340F20E-9010-4AD4-9A46-D80DDB95128A}"/>
  </hyperlink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91D2-7586-41FE-B7BE-B8792D21F450}">
  <sheetPr codeName="Sheet5">
    <tabColor theme="8"/>
  </sheetPr>
  <dimension ref="A1:E51"/>
  <sheetViews>
    <sheetView showGridLines="0" showRowColHeaders="0" workbookViewId="0">
      <selection activeCell="B30" sqref="B30"/>
    </sheetView>
  </sheetViews>
  <sheetFormatPr defaultRowHeight="14.4" x14ac:dyDescent="0.3"/>
  <cols>
    <col min="1" max="5" width="37.77734375" customWidth="1"/>
  </cols>
  <sheetData>
    <row r="1" spans="1:4" x14ac:dyDescent="0.3">
      <c r="A1" s="84" t="s">
        <v>520</v>
      </c>
    </row>
    <row r="2" spans="1:4" x14ac:dyDescent="0.3">
      <c r="A2" t="s">
        <v>0</v>
      </c>
      <c r="B2" t="s">
        <v>1</v>
      </c>
      <c r="D2" s="124" t="s">
        <v>507</v>
      </c>
    </row>
    <row r="3" spans="1:4" ht="80.099999999999994" customHeight="1" x14ac:dyDescent="1.4">
      <c r="A3" s="110"/>
      <c r="B3" s="110"/>
      <c r="D3" s="125">
        <f>ISBLANK(A3)+ISBLANK(B3)+ISBLANK(B5)+ISBLANK(B7)+ISBLANK(B8)+ISBLANK(B9)+ISBLANK(B11)+ISBLANK(B12)+ISBLANK(B14)+ISBLANK(B16)+IF(Organism="   Influenza",ISBLANK(B15),0)+ISBLANK(B17)+ISBLANK(B18)+ISBLANK(B19)+ISBLANK(B20)+ISBLANK(B22)+ISBLANK(B25)+ISBLANK(D25)+IF(B22="Specific Areas Only",ISBLANK(A29)+ISBLANK(B29)+ISBLANK(D29)+IF(ISBLANK(A30),0,ISBLANK(B30)+ISBLANK(D30))+IF(ISBLANK(A30),0,ISBLANK(B30)+ISBLANK(D30))+IF(ISBLANK(A31),0,ISBLANK(B31)+ISBLANK(D31))+IF(ISBLANK(A32),0,ISBLANK(B32)+ISBLANK(D32))+IF(ISBLANK(A33),0,ISBLANK(B33)+ISBLANK(D33))+IF(ISBLANK(A34),0,ISBLANK(B34)+ISBLANK(D34))+IF(ISBLANK(A35),0,ISBLANK(B35)+ISBLANK(D35))+IF(ISBLANK(A36),0,ISBLANK(B36)+ISBLANK(D36))+IF(ISBLANK(A37),0,ISBLANK(B37)+ISBLANK(D37))+IF(ISBLANK(A38),0,ISBLANK(B38)+ISBLANK(D38))+IF(ISBLANK(A39),0,ISBLANK(B39)+ISBLANK(D39))+IF(ISBLANK(A40),0,ISBLANK(B40)+ISBLANK(39))+IF(ISBLANK(A41),0,ISBLANK(B41)+ISBLANK(D41))+IF(ISBLANK(A42),0,ISBLANK(B42)+ISBLANK(D42))+IF(ISBLANK(A43),0,ISBLANK(B43)+ISBLANK(D43))+IF(ISBLANK(A44),0,ISBLANK(B44)+ISBLANK(D44))+IF(ISBLANK(A45),0,ISBLANK(B45)+ISBLANK(D45))+IF(ISBLANK(A46),0,ISBLANK(B46)+ISBLANK(D46))+IF(ISBLANK(A47),0,ISBLANK(B47)+ISBLANK(D47))+IF(ISBLANK(A48),0,ISBLANK(B48)+ISBLANK(D48))+IF(ISBLANK(A49),0,ISBLANK(B49)+ISBLANK(D49))+IF(ISBLANK(A50),0,ISBLANK(B50)+ISBLANK(D50))+IF(ISBLANK(A51),0,ISBLANK(B51)+ISBLANK(D51)),0)</f>
        <v>17</v>
      </c>
    </row>
    <row r="5" spans="1:4" x14ac:dyDescent="0.3">
      <c r="A5" t="s">
        <v>6</v>
      </c>
      <c r="B5" s="24"/>
    </row>
    <row r="7" spans="1:4" x14ac:dyDescent="0.3">
      <c r="A7" t="s">
        <v>2</v>
      </c>
      <c r="B7" s="2"/>
    </row>
    <row r="8" spans="1:4" x14ac:dyDescent="0.3">
      <c r="A8" t="s">
        <v>3</v>
      </c>
      <c r="B8" s="174"/>
    </row>
    <row r="9" spans="1:4" x14ac:dyDescent="0.3">
      <c r="A9" t="s">
        <v>4</v>
      </c>
      <c r="B9" s="174"/>
    </row>
    <row r="10" spans="1:4" x14ac:dyDescent="0.3">
      <c r="A10" s="22" t="s">
        <v>203</v>
      </c>
      <c r="B10" s="78" t="str">
        <f>IF(_xlfn.MAXIFS(LL[Day 0],LL[Reason for Line Listing],"Case",LL[Role],"Resident")=0,"Missing Data",IFERROR(TEXT(MAX('Data Prep'!AS12:AS14),"mmmm d, yyyy"),"Missing Data"))</f>
        <v>Missing Data</v>
      </c>
      <c r="C10" t="s">
        <v>537</v>
      </c>
    </row>
    <row r="11" spans="1:4" x14ac:dyDescent="0.3">
      <c r="A11" t="s">
        <v>5</v>
      </c>
      <c r="B11" s="174"/>
    </row>
    <row r="12" spans="1:4" x14ac:dyDescent="0.3">
      <c r="A12" t="s">
        <v>747</v>
      </c>
      <c r="B12" s="174"/>
    </row>
    <row r="13" spans="1:4" x14ac:dyDescent="0.3">
      <c r="B13" s="191" t="s">
        <v>704</v>
      </c>
      <c r="C13" s="191" t="s">
        <v>705</v>
      </c>
      <c r="D13" s="191" t="s">
        <v>706</v>
      </c>
    </row>
    <row r="14" spans="1:4" x14ac:dyDescent="0.3">
      <c r="A14" t="s">
        <v>703</v>
      </c>
      <c r="B14" s="2"/>
      <c r="C14" s="2"/>
      <c r="D14" s="2"/>
    </row>
    <row r="15" spans="1:4" x14ac:dyDescent="0.3">
      <c r="A15" t="s">
        <v>556</v>
      </c>
      <c r="B15" s="2"/>
    </row>
    <row r="16" spans="1:4" x14ac:dyDescent="0.3">
      <c r="A16" t="s">
        <v>7</v>
      </c>
      <c r="B16" s="2"/>
    </row>
    <row r="17" spans="1:5" x14ac:dyDescent="0.3">
      <c r="A17" t="s">
        <v>8</v>
      </c>
      <c r="B17" s="2"/>
    </row>
    <row r="18" spans="1:5" x14ac:dyDescent="0.3">
      <c r="A18" t="s">
        <v>724</v>
      </c>
      <c r="B18" s="2"/>
    </row>
    <row r="19" spans="1:5" x14ac:dyDescent="0.3">
      <c r="A19" t="s">
        <v>725</v>
      </c>
      <c r="B19" s="2"/>
    </row>
    <row r="20" spans="1:5" x14ac:dyDescent="0.3">
      <c r="A20" t="s">
        <v>9</v>
      </c>
      <c r="B20" s="2"/>
    </row>
    <row r="22" spans="1:5" x14ac:dyDescent="0.3">
      <c r="A22" t="s">
        <v>726</v>
      </c>
      <c r="B22" s="2"/>
    </row>
    <row r="24" spans="1:5" x14ac:dyDescent="0.3">
      <c r="A24" t="s">
        <v>217</v>
      </c>
      <c r="B24" t="s">
        <v>200</v>
      </c>
      <c r="C24" t="s">
        <v>748</v>
      </c>
      <c r="D24" t="s">
        <v>201</v>
      </c>
      <c r="E24" t="s">
        <v>749</v>
      </c>
    </row>
    <row r="25" spans="1:5" x14ac:dyDescent="0.3">
      <c r="A25" t="s">
        <v>10</v>
      </c>
      <c r="B25" s="136"/>
      <c r="C25" s="136"/>
      <c r="D25" s="136"/>
      <c r="E25" s="136"/>
    </row>
    <row r="27" spans="1:5" x14ac:dyDescent="0.3">
      <c r="A27" t="s">
        <v>202</v>
      </c>
    </row>
    <row r="28" spans="1:5" x14ac:dyDescent="0.3">
      <c r="A28" t="s">
        <v>216</v>
      </c>
      <c r="B28" t="s">
        <v>200</v>
      </c>
      <c r="C28" t="s">
        <v>748</v>
      </c>
      <c r="D28" t="s">
        <v>201</v>
      </c>
      <c r="E28" t="s">
        <v>749</v>
      </c>
    </row>
    <row r="29" spans="1:5" x14ac:dyDescent="0.3">
      <c r="A29" s="2"/>
      <c r="B29" s="2"/>
      <c r="C29" s="2"/>
      <c r="D29" s="2"/>
      <c r="E29" s="2"/>
    </row>
    <row r="30" spans="1:5" x14ac:dyDescent="0.3">
      <c r="A30" s="2"/>
      <c r="B30" s="2"/>
      <c r="C30" s="2"/>
      <c r="D30" s="2"/>
      <c r="E30" s="2"/>
    </row>
    <row r="31" spans="1:5" x14ac:dyDescent="0.3">
      <c r="A31" s="2"/>
      <c r="B31" s="2"/>
      <c r="C31" s="2"/>
      <c r="D31" s="2"/>
      <c r="E31" s="2"/>
    </row>
    <row r="32" spans="1:5" x14ac:dyDescent="0.3">
      <c r="A32" s="2"/>
      <c r="B32" s="2"/>
      <c r="C32" s="2"/>
      <c r="D32" s="2"/>
      <c r="E32" s="2"/>
    </row>
    <row r="33" spans="1:5" x14ac:dyDescent="0.3">
      <c r="A33" s="2"/>
      <c r="B33" s="2"/>
      <c r="C33" s="2"/>
      <c r="D33" s="2"/>
      <c r="E33" s="2"/>
    </row>
    <row r="34" spans="1:5" x14ac:dyDescent="0.3">
      <c r="A34" s="2"/>
      <c r="B34" s="2"/>
      <c r="C34" s="2"/>
      <c r="D34" s="2"/>
      <c r="E34" s="2"/>
    </row>
    <row r="35" spans="1:5" x14ac:dyDescent="0.3">
      <c r="A35" s="2"/>
      <c r="B35" s="2"/>
      <c r="C35" s="2"/>
      <c r="D35" s="2"/>
      <c r="E35" s="2"/>
    </row>
    <row r="36" spans="1:5" x14ac:dyDescent="0.3">
      <c r="A36" s="2"/>
      <c r="B36" s="2"/>
      <c r="C36" s="2"/>
      <c r="D36" s="2"/>
      <c r="E36" s="2"/>
    </row>
    <row r="37" spans="1:5" x14ac:dyDescent="0.3">
      <c r="A37" s="2"/>
      <c r="B37" s="2"/>
      <c r="C37" s="2"/>
      <c r="D37" s="2"/>
      <c r="E37" s="2"/>
    </row>
    <row r="38" spans="1:5" x14ac:dyDescent="0.3">
      <c r="A38" s="2"/>
      <c r="B38" s="2"/>
      <c r="C38" s="2"/>
      <c r="D38" s="2"/>
      <c r="E38" s="2"/>
    </row>
    <row r="39" spans="1:5" x14ac:dyDescent="0.3">
      <c r="A39" s="2"/>
      <c r="B39" s="2"/>
      <c r="C39" s="2"/>
      <c r="D39" s="2"/>
      <c r="E39" s="2"/>
    </row>
    <row r="40" spans="1:5" x14ac:dyDescent="0.3">
      <c r="A40" s="2"/>
      <c r="B40" s="2"/>
      <c r="C40" s="2"/>
      <c r="D40" s="2"/>
      <c r="E40" s="2"/>
    </row>
    <row r="41" spans="1:5" x14ac:dyDescent="0.3">
      <c r="A41" s="2"/>
      <c r="B41" s="2"/>
      <c r="C41" s="2"/>
      <c r="D41" s="2"/>
      <c r="E41" s="2"/>
    </row>
    <row r="42" spans="1:5" x14ac:dyDescent="0.3">
      <c r="A42" s="2"/>
      <c r="B42" s="2"/>
      <c r="C42" s="2"/>
      <c r="D42" s="2"/>
      <c r="E42" s="2"/>
    </row>
    <row r="43" spans="1:5" x14ac:dyDescent="0.3">
      <c r="A43" s="2"/>
      <c r="B43" s="2"/>
      <c r="C43" s="2"/>
      <c r="D43" s="2"/>
      <c r="E43" s="2"/>
    </row>
    <row r="44" spans="1:5" x14ac:dyDescent="0.3">
      <c r="A44" s="2"/>
      <c r="B44" s="2"/>
      <c r="C44" s="2"/>
      <c r="D44" s="2"/>
      <c r="E44" s="2"/>
    </row>
    <row r="45" spans="1:5" x14ac:dyDescent="0.3">
      <c r="A45" s="2"/>
      <c r="B45" s="2"/>
      <c r="C45" s="2"/>
      <c r="D45" s="2"/>
      <c r="E45" s="2"/>
    </row>
    <row r="46" spans="1:5" x14ac:dyDescent="0.3">
      <c r="A46" s="2"/>
      <c r="B46" s="2"/>
      <c r="C46" s="2"/>
      <c r="D46" s="2"/>
      <c r="E46" s="2"/>
    </row>
    <row r="47" spans="1:5" x14ac:dyDescent="0.3">
      <c r="A47" s="2"/>
      <c r="B47" s="2"/>
      <c r="C47" s="2"/>
      <c r="D47" s="2"/>
      <c r="E47" s="2"/>
    </row>
    <row r="48" spans="1:5" x14ac:dyDescent="0.3">
      <c r="A48" s="2"/>
      <c r="B48" s="2"/>
      <c r="C48" s="2"/>
      <c r="D48" s="2"/>
      <c r="E48" s="2"/>
    </row>
    <row r="49" spans="1:5" x14ac:dyDescent="0.3">
      <c r="A49" s="2"/>
      <c r="B49" s="2"/>
      <c r="C49" s="2"/>
      <c r="D49" s="2"/>
      <c r="E49" s="2"/>
    </row>
    <row r="50" spans="1:5" x14ac:dyDescent="0.3">
      <c r="A50" s="2"/>
      <c r="B50" s="2"/>
      <c r="C50" s="2"/>
      <c r="D50" s="2"/>
      <c r="E50" s="2"/>
    </row>
    <row r="51" spans="1:5" x14ac:dyDescent="0.3">
      <c r="A51" s="2"/>
      <c r="B51" s="2"/>
      <c r="C51" s="2"/>
      <c r="D51" s="2"/>
      <c r="E51" s="2"/>
    </row>
  </sheetData>
  <sheetProtection sheet="1" objects="1" scenarios="1"/>
  <conditionalFormatting sqref="A15">
    <cfRule type="expression" dxfId="43" priority="34">
      <formula>AND(ISBLANK(B15),B14&lt;&gt;"   Influenza")</formula>
    </cfRule>
  </conditionalFormatting>
  <conditionalFormatting sqref="A3:B3 B5 B7:B9 B11:B12 B14:D14 B16:B20 B22 B25 D25">
    <cfRule type="expression" dxfId="42" priority="8">
      <formula>ISBLANK(A3)</formula>
    </cfRule>
  </conditionalFormatting>
  <conditionalFormatting sqref="A29:E29">
    <cfRule type="expression" dxfId="41" priority="9">
      <formula>AND($B$22="Specific Areas Only",ISBLANK(A29))</formula>
    </cfRule>
  </conditionalFormatting>
  <conditionalFormatting sqref="A29:E51">
    <cfRule type="expression" dxfId="40" priority="6">
      <formula>$B$22="Specific Areas Only"</formula>
    </cfRule>
  </conditionalFormatting>
  <conditionalFormatting sqref="B15">
    <cfRule type="expression" dxfId="39" priority="3">
      <formula>AND(ISBLANK(B15),B14="   Influenza")</formula>
    </cfRule>
  </conditionalFormatting>
  <conditionalFormatting sqref="B30:E51">
    <cfRule type="expression" dxfId="38" priority="5">
      <formula>AND(ISBLANK($A30)=FALSE,ISBLANK(B$30))</formula>
    </cfRule>
  </conditionalFormatting>
  <conditionalFormatting sqref="C25 E25">
    <cfRule type="expression" dxfId="37" priority="1">
      <formula>ISBLANK(B25)</formula>
    </cfRule>
  </conditionalFormatting>
  <dataValidations xWindow="394" yWindow="586" count="21">
    <dataValidation type="list" allowBlank="1" showInputMessage="1" showErrorMessage="1" error="Field only accepts listed values." prompt="Select One" sqref="B22" xr:uid="{F542251D-E3D1-4A4D-8CF9-E7763B05A744}">
      <formula1>"Entire Facility,Specific Areas Only"</formula1>
    </dataValidation>
    <dataValidation type="date" allowBlank="1" showInputMessage="1" showErrorMessage="1" error="Must be a date between 2021/01/01 and today." prompt="yyyy/m/d" sqref="B11 B8:B9 B5 B15" xr:uid="{57FA1308-DEB0-4040-B345-B8898EA2B72C}">
      <formula1>44197</formula1>
      <formula2>TODAY()</formula2>
    </dataValidation>
    <dataValidation allowBlank="1" showInputMessage="1" showErrorMessage="1" prompt="Enter the criteria defining a case." sqref="A3" xr:uid="{E6B254A8-A8C6-4FCD-98DF-6C7984ED63B7}"/>
    <dataValidation allowBlank="1" showInputMessage="1" showErrorMessage="1" prompt="Enter the names of the OB management team. To add a name on a new line in this field, hold down Alt and press Enter." sqref="B3" xr:uid="{F568BCA5-5D97-4284-AC5D-BC95B4673303}"/>
    <dataValidation allowBlank="1" showInputMessage="1" showErrorMessage="1" prompt="Enter outbreak name _x000a_(Facility ID - Facility Name - Area - Date Reported)" sqref="B7" xr:uid="{782E9C6E-017E-4BF8-9B11-0646617849AC}"/>
    <dataValidation allowBlank="1" showInputMessage="1" showErrorMessage="1" prompt="Enter name of PHSD lead." sqref="B12" xr:uid="{BC4277A2-6009-4E4F-A86D-24C97A72BBB7}"/>
    <dataValidation type="list" allowBlank="1" showInputMessage="1" showErrorMessage="1" prompt="Enter the causative organism, if identified." sqref="B14:D14 B15" xr:uid="{F6E16B2F-3685-478B-9DAC-F8DBCD177954}">
      <formula1>INDIRECT("Agent[Agent]")</formula1>
    </dataValidation>
    <dataValidation allowBlank="1" showInputMessage="1" showErrorMessage="1" prompt="Enter the institution information preceded by its provincial facility number, if applicable._x000a_[Facility number - Name]" sqref="B16" xr:uid="{6D53708E-A556-42AA-97E4-DFEBFFD79B85}"/>
    <dataValidation allowBlank="1" showInputMessage="1" showErrorMessage="1" prompt="Enter the outbreak number._x000a_[2261-YYYY-#####]" sqref="B17" xr:uid="{6713C67C-CEA9-4CEA-9CC5-F4A30C038153}"/>
    <dataValidation allowBlank="1" showInputMessage="1" showErrorMessage="1" prompt="Enter the facility contact's name." sqref="B18" xr:uid="{CD28FBDA-7E43-4D3A-B9E9-558626046A22}"/>
    <dataValidation allowBlank="1" showInputMessage="1" showErrorMessage="1" prompt="Enter the facility contact's phone number." sqref="B19" xr:uid="{A0916F0B-562E-40F7-B0A6-542EC61A53F6}"/>
    <dataValidation allowBlank="1" showInputMessage="1" showErrorMessage="1" prompt="Enter the facility contact's extension information." sqref="B20" xr:uid="{E494852A-88BB-43F7-A750-378E03BAFF8C}"/>
    <dataValidation type="whole" allowBlank="1" showInputMessage="1" showErrorMessage="1" prompt="Enter total # of vaccinated residents in facility. If vaccination status does not apply to the disease agent, enter the total number of facility residents in this field." sqref="B25" xr:uid="{D5DFAEA8-A259-46FE-9F78-1CCB5D2730E3}">
      <formula1>0</formula1>
      <formula2>1000</formula2>
    </dataValidation>
    <dataValidation type="whole" allowBlank="1" showInputMessage="1" showErrorMessage="1" prompt="Enter total # of unvaccinated or unknown vaccination status staff in facility. If vaccination status does not apply to the disease agent, enter nothing in this field." sqref="E25" xr:uid="{EC29276F-7EDD-4CF9-85A8-422BF6B42BDF}">
      <formula1>0</formula1>
      <formula2>1000</formula2>
    </dataValidation>
    <dataValidation type="whole" allowBlank="1" showInputMessage="1" showErrorMessage="1" prompt="Enter total # of unvaccinated or unknown vaccination status residents in facility. If vaccination status does not apply to the disease agent, enter nothing in this field." sqref="C25" xr:uid="{EF0F70CC-FC3F-450E-94D4-846C9E1964A9}">
      <formula1>0</formula1>
      <formula2>1000</formula2>
    </dataValidation>
    <dataValidation type="whole" allowBlank="1" showInputMessage="1" showErrorMessage="1" prompt="Enter total # of vaccinated staff in facility. If vaccination status does not apply to the disease agent, enter the total number of facility staff in this field." sqref="D25" xr:uid="{22ECA5B7-41C4-4841-9726-AF60DE4F19D7}">
      <formula1>0</formula1>
      <formula2>1000</formula2>
    </dataValidation>
    <dataValidation allowBlank="1" showInputMessage="1" showErrorMessage="1" prompt="Enter total # of vaccinated residents in this area. If vaccination status does not apply to the disease agent, enter the total number of area residents in this field." sqref="B29:B51" xr:uid="{F6E4B1F5-CD5C-4E0E-AB4D-B938F7B1F8A3}"/>
    <dataValidation allowBlank="1" showInputMessage="1" showErrorMessage="1" prompt="Enter the name of the specific area(s) in which cases/contacts are primarily located." sqref="A29:A51" xr:uid="{73C552BC-96FF-46E4-94DE-5C118E725FC9}"/>
    <dataValidation allowBlank="1" showInputMessage="1" showErrorMessage="1" prompt="Enter total # of unvaccinated or unknown vaccination status residents in this area. If vaccination status does not apply to the disease agent, enter nothing in this field." sqref="C29:C51" xr:uid="{3DE62BDD-1AEC-4AEA-B9BD-0B194C60E3A6}"/>
    <dataValidation allowBlank="1" showInputMessage="1" showErrorMessage="1" prompt="Enter total # of vaccinated staff in this area. If vaccination status does not apply to the disease agent, enter the total number of area staff in this field." sqref="D29:D51" xr:uid="{62E72EEE-5420-4C66-91ED-680DEF3E27F7}"/>
    <dataValidation allowBlank="1" showInputMessage="1" showErrorMessage="1" prompt="Enter total # of unvaccinated or unknown vaccination status staff in this area. If vaccination status does not apply to the disease agent, enter nothing in this field." sqref="E29:E51" xr:uid="{CC7AE1B1-D348-44F8-9DBA-6C4E8774AD43}"/>
  </dataValidations>
  <pageMargins left="0.7" right="0.7" top="0.75" bottom="0.75" header="0.3" footer="0.3"/>
  <drawing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D09E5-7348-4A1E-9A24-0670A2DB2892}">
  <sheetPr codeName="Sheet6">
    <tabColor theme="3"/>
  </sheetPr>
  <dimension ref="A1:BP404"/>
  <sheetViews>
    <sheetView showGridLines="0" showRowColHeaders="0" tabSelected="1"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B4" sqref="B4"/>
    </sheetView>
  </sheetViews>
  <sheetFormatPr defaultRowHeight="14.4" x14ac:dyDescent="0.3"/>
  <cols>
    <col min="1" max="1" width="8.21875" customWidth="1"/>
    <col min="2" max="2" width="20.77734375" customWidth="1"/>
    <col min="3" max="3" width="13.77734375" customWidth="1"/>
    <col min="4" max="4" width="9.77734375" bestFit="1" customWidth="1"/>
    <col min="6" max="6" width="13.77734375" customWidth="1"/>
    <col min="7" max="7" width="14.77734375" customWidth="1"/>
    <col min="8" max="9" width="14.21875" customWidth="1"/>
    <col min="10" max="11" width="13.77734375" customWidth="1"/>
    <col min="12" max="12" width="3.77734375" bestFit="1" customWidth="1"/>
    <col min="13" max="15" width="13.77734375" customWidth="1"/>
    <col min="16" max="16" width="6.5546875" bestFit="1" customWidth="1"/>
    <col min="17" max="32" width="3.77734375" bestFit="1" customWidth="1"/>
    <col min="33" max="33" width="17.21875" customWidth="1"/>
    <col min="34" max="35" width="3.77734375" bestFit="1" customWidth="1"/>
    <col min="36" max="36" width="13" customWidth="1"/>
    <col min="37" max="43" width="13.77734375" customWidth="1"/>
    <col min="44" max="44" width="16.44140625" customWidth="1"/>
    <col min="45" max="45" width="3.77734375" bestFit="1" customWidth="1"/>
    <col min="46" max="47" width="3.77734375" customWidth="1"/>
    <col min="48" max="48" width="18.44140625" customWidth="1"/>
    <col min="49" max="53" width="13.77734375" customWidth="1"/>
    <col min="54" max="58" width="4.44140625" hidden="1" customWidth="1"/>
    <col min="59" max="59" width="13.77734375" hidden="1" customWidth="1"/>
    <col min="60" max="60" width="16.21875" customWidth="1"/>
    <col min="61" max="61" width="13.5546875" customWidth="1"/>
    <col min="62" max="62" width="13.77734375" customWidth="1"/>
    <col min="63" max="63" width="20.77734375" customWidth="1"/>
    <col min="64" max="64" width="13.77734375" hidden="1" customWidth="1"/>
    <col min="65" max="65" width="15.77734375" customWidth="1"/>
    <col min="66" max="67" width="13.77734375" customWidth="1"/>
    <col min="68" max="68" width="13.77734375" hidden="1" customWidth="1"/>
    <col min="69" max="74" width="9.21875" customWidth="1"/>
  </cols>
  <sheetData>
    <row r="1" spans="1:59" ht="15" thickBot="1" x14ac:dyDescent="0.35">
      <c r="A1" s="84" t="s">
        <v>521</v>
      </c>
      <c r="B1" s="183" t="s">
        <v>659</v>
      </c>
      <c r="C1" s="183" t="s">
        <v>170</v>
      </c>
      <c r="D1" s="183"/>
      <c r="E1" s="183"/>
      <c r="F1" s="183"/>
      <c r="G1" s="19" t="s">
        <v>752</v>
      </c>
      <c r="H1" s="19"/>
      <c r="I1" s="19"/>
      <c r="J1" s="19"/>
      <c r="K1" s="19"/>
      <c r="L1" s="184" t="s">
        <v>168</v>
      </c>
      <c r="M1" s="185"/>
      <c r="N1" s="186"/>
      <c r="O1" s="186"/>
      <c r="P1" s="186"/>
      <c r="Q1" s="185"/>
      <c r="R1" s="185"/>
      <c r="S1" s="185"/>
      <c r="T1" s="185"/>
      <c r="U1" s="185"/>
      <c r="V1" s="185"/>
      <c r="W1" s="185"/>
      <c r="X1" s="185"/>
      <c r="Y1" s="185"/>
      <c r="Z1" s="185"/>
      <c r="AA1" s="185"/>
      <c r="AB1" s="185"/>
      <c r="AC1" s="185"/>
      <c r="AD1" s="185"/>
      <c r="AE1" s="185"/>
      <c r="AF1" s="185"/>
      <c r="AG1" s="185"/>
      <c r="AH1" s="186"/>
      <c r="AI1" s="20" t="s">
        <v>167</v>
      </c>
      <c r="AJ1" s="20"/>
      <c r="AK1" s="21"/>
      <c r="AL1" s="20"/>
      <c r="AM1" s="20"/>
      <c r="AN1" s="20"/>
      <c r="AO1" s="21"/>
      <c r="AP1" s="20"/>
      <c r="AQ1" s="20"/>
      <c r="AR1" s="182" t="s">
        <v>169</v>
      </c>
      <c r="AS1" s="182"/>
      <c r="AT1" s="182"/>
      <c r="AU1" s="182"/>
      <c r="AV1" s="182"/>
      <c r="AW1" s="182"/>
      <c r="AX1" s="182"/>
      <c r="AY1" s="182"/>
      <c r="AZ1" s="182"/>
      <c r="BA1" s="182"/>
      <c r="BG1" s="19"/>
    </row>
    <row r="2" spans="1:59" ht="18.75" customHeight="1" thickTop="1" thickBot="1" x14ac:dyDescent="0.35">
      <c r="A2" s="156" t="str">
        <f>'Basic Information'!A10</f>
        <v>Potential Date Declared Over:</v>
      </c>
      <c r="Q2" s="4" t="s">
        <v>109</v>
      </c>
      <c r="R2" s="5"/>
      <c r="S2" s="5"/>
      <c r="T2" s="5"/>
      <c r="U2" s="5"/>
      <c r="V2" s="5"/>
      <c r="W2" s="5"/>
      <c r="X2" s="5"/>
      <c r="Y2" s="5"/>
      <c r="Z2" s="5"/>
      <c r="AA2" s="5"/>
      <c r="AB2" s="5"/>
      <c r="AC2" s="5"/>
      <c r="AD2" s="5"/>
      <c r="AE2" s="5"/>
      <c r="AF2" s="6"/>
      <c r="AI2" s="3"/>
      <c r="AJ2" s="3"/>
      <c r="AL2" s="3"/>
      <c r="AM2" s="3"/>
      <c r="AN2" s="3"/>
      <c r="AP2" s="3"/>
      <c r="AQ2" s="3"/>
    </row>
    <row r="3" spans="1:59" ht="18.75" customHeight="1" thickTop="1" thickBot="1" x14ac:dyDescent="0.35">
      <c r="A3" s="180" t="str">
        <f>'Basic Information'!B10</f>
        <v>Missing Data</v>
      </c>
      <c r="Q3" s="7" t="s">
        <v>106</v>
      </c>
      <c r="R3" s="8"/>
      <c r="S3" s="8"/>
      <c r="T3" s="8"/>
      <c r="U3" s="9"/>
      <c r="V3" s="7" t="s">
        <v>107</v>
      </c>
      <c r="W3" s="8"/>
      <c r="X3" s="8"/>
      <c r="Y3" s="8"/>
      <c r="Z3" s="8"/>
      <c r="AA3" s="8"/>
      <c r="AB3" s="9"/>
      <c r="AC3" s="7" t="s">
        <v>108</v>
      </c>
      <c r="AD3" s="8"/>
      <c r="AE3" s="8"/>
      <c r="AF3" s="9"/>
      <c r="AI3" s="3"/>
      <c r="AJ3" s="3"/>
      <c r="AL3" s="3"/>
      <c r="AM3" s="3"/>
      <c r="AN3" s="3"/>
      <c r="AP3" s="3"/>
      <c r="AQ3" s="3"/>
    </row>
    <row r="4" spans="1:59" s="1" customFormat="1" ht="177" customHeight="1" thickTop="1" thickBot="1" x14ac:dyDescent="0.35">
      <c r="A4" s="200" t="s">
        <v>11</v>
      </c>
      <c r="B4" s="201" t="s">
        <v>12</v>
      </c>
      <c r="C4" s="201" t="s">
        <v>18</v>
      </c>
      <c r="D4" s="201" t="s">
        <v>19</v>
      </c>
      <c r="E4" s="201" t="s">
        <v>13</v>
      </c>
      <c r="F4" s="201" t="s">
        <v>58</v>
      </c>
      <c r="G4" s="200" t="s">
        <v>14</v>
      </c>
      <c r="H4" s="201" t="s">
        <v>15</v>
      </c>
      <c r="I4" s="202" t="s">
        <v>17</v>
      </c>
      <c r="J4" s="203" t="s">
        <v>750</v>
      </c>
      <c r="K4" s="203" t="s">
        <v>751</v>
      </c>
      <c r="L4" s="204" t="s">
        <v>36</v>
      </c>
      <c r="M4" s="205" t="s">
        <v>657</v>
      </c>
      <c r="N4" s="206" t="s">
        <v>658</v>
      </c>
      <c r="O4" s="203" t="s">
        <v>16</v>
      </c>
      <c r="P4" s="207" t="s">
        <v>681</v>
      </c>
      <c r="Q4" s="207" t="s">
        <v>46</v>
      </c>
      <c r="R4" s="208" t="s">
        <v>707</v>
      </c>
      <c r="S4" s="208" t="s">
        <v>47</v>
      </c>
      <c r="T4" s="208" t="s">
        <v>37</v>
      </c>
      <c r="U4" s="209" t="s">
        <v>38</v>
      </c>
      <c r="V4" s="207" t="s">
        <v>39</v>
      </c>
      <c r="W4" s="208" t="s">
        <v>40</v>
      </c>
      <c r="X4" s="208" t="s">
        <v>41</v>
      </c>
      <c r="Y4" s="208" t="s">
        <v>42</v>
      </c>
      <c r="Z4" s="208" t="s">
        <v>43</v>
      </c>
      <c r="AA4" s="208" t="s">
        <v>44</v>
      </c>
      <c r="AB4" s="209" t="s">
        <v>45</v>
      </c>
      <c r="AC4" s="207" t="s">
        <v>708</v>
      </c>
      <c r="AD4" s="208" t="s">
        <v>48</v>
      </c>
      <c r="AE4" s="208" t="s">
        <v>49</v>
      </c>
      <c r="AF4" s="209" t="s">
        <v>50</v>
      </c>
      <c r="AG4" s="206" t="s">
        <v>51</v>
      </c>
      <c r="AH4" s="204" t="s">
        <v>680</v>
      </c>
      <c r="AI4" s="204" t="s">
        <v>35</v>
      </c>
      <c r="AJ4" s="210" t="s">
        <v>598</v>
      </c>
      <c r="AK4" s="201" t="s">
        <v>654</v>
      </c>
      <c r="AL4" s="210" t="s">
        <v>647</v>
      </c>
      <c r="AM4" s="202" t="s">
        <v>709</v>
      </c>
      <c r="AN4" s="205" t="s">
        <v>627</v>
      </c>
      <c r="AO4" s="201" t="s">
        <v>655</v>
      </c>
      <c r="AP4" s="210" t="s">
        <v>656</v>
      </c>
      <c r="AQ4" s="202" t="s">
        <v>710</v>
      </c>
      <c r="AR4" s="206" t="s">
        <v>52</v>
      </c>
      <c r="AS4" s="208" t="s">
        <v>677</v>
      </c>
      <c r="AT4" s="208" t="s">
        <v>678</v>
      </c>
      <c r="AU4" s="208" t="s">
        <v>727</v>
      </c>
      <c r="AV4" s="201" t="s">
        <v>679</v>
      </c>
      <c r="AW4" s="203" t="s">
        <v>53</v>
      </c>
      <c r="AX4" s="201" t="s">
        <v>54</v>
      </c>
      <c r="AY4" s="202" t="s">
        <v>55</v>
      </c>
      <c r="AZ4" s="206" t="s">
        <v>56</v>
      </c>
      <c r="BA4" s="206" t="s">
        <v>57</v>
      </c>
      <c r="BB4" s="72" t="s">
        <v>448</v>
      </c>
      <c r="BC4" s="72" t="s">
        <v>712</v>
      </c>
      <c r="BD4" s="72" t="s">
        <v>713</v>
      </c>
      <c r="BE4" s="72" t="s">
        <v>714</v>
      </c>
      <c r="BF4" s="72" t="s">
        <v>178</v>
      </c>
      <c r="BG4" s="10" t="s">
        <v>381</v>
      </c>
    </row>
    <row r="5" spans="1:59" ht="15" thickTop="1" x14ac:dyDescent="0.3">
      <c r="A5" s="11">
        <v>1</v>
      </c>
      <c r="B5" s="12"/>
      <c r="C5" s="13"/>
      <c r="D5" s="12"/>
      <c r="E5" s="12"/>
      <c r="F5" s="12"/>
      <c r="G5" s="16"/>
      <c r="H5" s="12"/>
      <c r="I5" s="14"/>
      <c r="J5" s="137"/>
      <c r="K5" s="137"/>
      <c r="L5" s="18"/>
      <c r="M5" s="139"/>
      <c r="N5" s="140"/>
      <c r="O5" s="137"/>
      <c r="P5" s="137"/>
      <c r="Q5" s="15"/>
      <c r="R5" s="12"/>
      <c r="S5" s="12"/>
      <c r="T5" s="12"/>
      <c r="U5" s="14"/>
      <c r="V5" s="15"/>
      <c r="W5" s="12"/>
      <c r="X5" s="12"/>
      <c r="Y5" s="12"/>
      <c r="Z5" s="12"/>
      <c r="AA5" s="12"/>
      <c r="AB5" s="14"/>
      <c r="AC5" s="15"/>
      <c r="AD5" s="12"/>
      <c r="AE5" s="12"/>
      <c r="AF5" s="14"/>
      <c r="AG5" s="18"/>
      <c r="AH5" s="18"/>
      <c r="AI5" s="17"/>
      <c r="AJ5" s="181"/>
      <c r="AK5" s="13"/>
      <c r="AL5" s="181"/>
      <c r="AM5" s="175"/>
      <c r="AN5" s="192"/>
      <c r="AO5" s="13"/>
      <c r="AP5" s="181"/>
      <c r="AQ5" s="175"/>
      <c r="AR5" s="18"/>
      <c r="AS5" s="12"/>
      <c r="AT5" s="12"/>
      <c r="AU5" s="12"/>
      <c r="AV5" s="12"/>
      <c r="AW5" s="137"/>
      <c r="AX5" s="13"/>
      <c r="AY5" s="138"/>
      <c r="AZ5" s="140"/>
      <c r="BA5" s="18"/>
      <c r="BB5" s="18" t="e">
        <f>IF(#REF!&lt;&gt;0,IF(LL[[#This Row],[Date of Birth]]&lt;&gt;0,YEAR(#REF!-LL[[#This Row],[Date of Birth]])-1900,""),"")</f>
        <v>#REF!</v>
      </c>
      <c r="BC5" s="2" t="str">
        <f>IF(LL[[#This Row],[Sx Onset Date]]&gt;0,LL[[#This Row],[Sx Onset Date]],"")</f>
        <v/>
      </c>
      <c r="BD5" s="2" t="str">
        <f>IF(LL[[#This Row],[Lab-confirmed?]]="Y",LL[[#This Row],[Test Date]],"")</f>
        <v/>
      </c>
      <c r="BE5" s="2" t="str">
        <f>IF(LL[[#This Row],[Lab-confirmed?]]="Y",LL[[#This Row],[Test Date 2]],"")</f>
        <v/>
      </c>
      <c r="BF5" s="139" t="str">
        <f>IF(LL[[#This Row],[Date Reported to Public Health]]&gt;0,LL[[#This Row],[Date Reported to Public Health]],"")</f>
        <v/>
      </c>
      <c r="BG5" s="13" t="str">
        <f t="shared" ref="BG5:BG68" si="0">IF(_xlfn.MINIFS(BC5:BF5,BC5:BF5,"&gt;"&amp;0)&gt;0,_xlfn.MINIFS(BC5:BF5,BC5:BF5,"&gt;"&amp;0),"")</f>
        <v/>
      </c>
    </row>
    <row r="6" spans="1:59" x14ac:dyDescent="0.3">
      <c r="A6" s="11">
        <v>2</v>
      </c>
      <c r="B6" s="12"/>
      <c r="C6" s="13"/>
      <c r="D6" s="12"/>
      <c r="E6" s="12"/>
      <c r="F6" s="12"/>
      <c r="G6" s="16"/>
      <c r="H6" s="12"/>
      <c r="I6" s="14"/>
      <c r="J6" s="137"/>
      <c r="K6" s="137"/>
      <c r="L6" s="18"/>
      <c r="M6" s="139"/>
      <c r="N6" s="140"/>
      <c r="O6" s="137"/>
      <c r="P6" s="137"/>
      <c r="Q6" s="15"/>
      <c r="R6" s="12"/>
      <c r="S6" s="12"/>
      <c r="T6" s="12"/>
      <c r="U6" s="14"/>
      <c r="V6" s="15"/>
      <c r="W6" s="12"/>
      <c r="X6" s="12"/>
      <c r="Y6" s="12"/>
      <c r="Z6" s="12"/>
      <c r="AA6" s="12"/>
      <c r="AB6" s="14"/>
      <c r="AC6" s="15"/>
      <c r="AD6" s="12"/>
      <c r="AE6" s="12"/>
      <c r="AF6" s="14"/>
      <c r="AG6" s="18"/>
      <c r="AH6" s="18"/>
      <c r="AI6" s="17"/>
      <c r="AJ6" s="181"/>
      <c r="AK6" s="13"/>
      <c r="AL6" s="181"/>
      <c r="AM6" s="175"/>
      <c r="AN6" s="192"/>
      <c r="AO6" s="13"/>
      <c r="AP6" s="181"/>
      <c r="AQ6" s="175"/>
      <c r="AR6" s="18"/>
      <c r="AS6" s="12"/>
      <c r="AT6" s="12"/>
      <c r="AU6" s="12"/>
      <c r="AV6" s="12"/>
      <c r="AW6" s="137"/>
      <c r="AX6" s="13"/>
      <c r="AY6" s="138"/>
      <c r="AZ6" s="140"/>
      <c r="BA6" s="18"/>
      <c r="BB6" s="18" t="e">
        <f>IF(#REF!&lt;&gt;0,IF(LL[[#This Row],[Date of Birth]]&lt;&gt;0,YEAR(#REF!-LL[[#This Row],[Date of Birth]])-1900,""),"")</f>
        <v>#REF!</v>
      </c>
      <c r="BC6" s="2" t="str">
        <f>IF(LL[[#This Row],[Sx Onset Date]]&gt;0,LL[[#This Row],[Sx Onset Date]],"")</f>
        <v/>
      </c>
      <c r="BD6" s="2" t="str">
        <f>IF(LL[[#This Row],[Lab-confirmed?]]="Y",LL[[#This Row],[Test Date]],"")</f>
        <v/>
      </c>
      <c r="BE6" s="2" t="str">
        <f>IF(LL[[#This Row],[Lab-confirmed?]]="Y",LL[[#This Row],[Test Date 2]],"")</f>
        <v/>
      </c>
      <c r="BF6" s="139" t="str">
        <f>IF(LL[[#This Row],[Date Reported to Public Health]]&gt;0,LL[[#This Row],[Date Reported to Public Health]],"")</f>
        <v/>
      </c>
      <c r="BG6" s="13" t="str">
        <f t="shared" si="0"/>
        <v/>
      </c>
    </row>
    <row r="7" spans="1:59" x14ac:dyDescent="0.3">
      <c r="A7" s="11">
        <v>3</v>
      </c>
      <c r="B7" s="12"/>
      <c r="C7" s="13"/>
      <c r="D7" s="12"/>
      <c r="E7" s="12"/>
      <c r="F7" s="12"/>
      <c r="G7" s="16"/>
      <c r="H7" s="12"/>
      <c r="I7" s="14"/>
      <c r="J7" s="137"/>
      <c r="K7" s="137"/>
      <c r="L7" s="18"/>
      <c r="M7" s="139"/>
      <c r="N7" s="140"/>
      <c r="O7" s="137"/>
      <c r="P7" s="137"/>
      <c r="Q7" s="15"/>
      <c r="R7" s="12"/>
      <c r="S7" s="12"/>
      <c r="T7" s="12"/>
      <c r="U7" s="14"/>
      <c r="V7" s="15"/>
      <c r="W7" s="12"/>
      <c r="X7" s="12"/>
      <c r="Y7" s="12"/>
      <c r="Z7" s="12"/>
      <c r="AA7" s="12"/>
      <c r="AB7" s="14"/>
      <c r="AC7" s="15"/>
      <c r="AD7" s="12"/>
      <c r="AE7" s="12"/>
      <c r="AF7" s="14"/>
      <c r="AG7" s="18"/>
      <c r="AH7" s="18"/>
      <c r="AI7" s="17"/>
      <c r="AJ7" s="181"/>
      <c r="AK7" s="13"/>
      <c r="AL7" s="181"/>
      <c r="AM7" s="175"/>
      <c r="AN7" s="192"/>
      <c r="AO7" s="13"/>
      <c r="AP7" s="181"/>
      <c r="AQ7" s="175"/>
      <c r="AR7" s="18"/>
      <c r="AS7" s="12"/>
      <c r="AT7" s="12"/>
      <c r="AU7" s="12"/>
      <c r="AV7" s="12"/>
      <c r="AW7" s="137"/>
      <c r="AX7" s="13"/>
      <c r="AY7" s="138"/>
      <c r="AZ7" s="140"/>
      <c r="BA7" s="18"/>
      <c r="BB7" s="18" t="e">
        <f>IF(#REF!&lt;&gt;0,IF(LL[[#This Row],[Date of Birth]]&lt;&gt;0,YEAR(#REF!-LL[[#This Row],[Date of Birth]])-1900,""),"")</f>
        <v>#REF!</v>
      </c>
      <c r="BC7" s="2" t="str">
        <f>IF(LL[[#This Row],[Sx Onset Date]]&gt;0,LL[[#This Row],[Sx Onset Date]],"")</f>
        <v/>
      </c>
      <c r="BD7" s="2" t="str">
        <f>IF(LL[[#This Row],[Lab-confirmed?]]="Y",LL[[#This Row],[Test Date]],"")</f>
        <v/>
      </c>
      <c r="BE7" s="2" t="str">
        <f>IF(LL[[#This Row],[Lab-confirmed?]]="Y",LL[[#This Row],[Test Date 2]],"")</f>
        <v/>
      </c>
      <c r="BF7" s="139" t="str">
        <f>IF(LL[[#This Row],[Date Reported to Public Health]]&gt;0,LL[[#This Row],[Date Reported to Public Health]],"")</f>
        <v/>
      </c>
      <c r="BG7" s="13" t="str">
        <f t="shared" si="0"/>
        <v/>
      </c>
    </row>
    <row r="8" spans="1:59" x14ac:dyDescent="0.3">
      <c r="A8" s="11">
        <v>4</v>
      </c>
      <c r="B8" s="12"/>
      <c r="C8" s="13"/>
      <c r="D8" s="12"/>
      <c r="E8" s="12"/>
      <c r="F8" s="12"/>
      <c r="G8" s="16"/>
      <c r="H8" s="12"/>
      <c r="I8" s="14"/>
      <c r="J8" s="137"/>
      <c r="K8" s="137"/>
      <c r="L8" s="18"/>
      <c r="M8" s="139"/>
      <c r="N8" s="140"/>
      <c r="O8" s="137"/>
      <c r="P8" s="137"/>
      <c r="Q8" s="15"/>
      <c r="R8" s="12"/>
      <c r="S8" s="12"/>
      <c r="T8" s="12"/>
      <c r="U8" s="14"/>
      <c r="V8" s="15"/>
      <c r="W8" s="12"/>
      <c r="X8" s="12"/>
      <c r="Y8" s="12"/>
      <c r="Z8" s="12"/>
      <c r="AA8" s="12"/>
      <c r="AB8" s="14"/>
      <c r="AC8" s="15"/>
      <c r="AD8" s="12"/>
      <c r="AE8" s="12"/>
      <c r="AF8" s="14"/>
      <c r="AG8" s="18"/>
      <c r="AH8" s="18"/>
      <c r="AI8" s="17"/>
      <c r="AJ8" s="181"/>
      <c r="AK8" s="13"/>
      <c r="AL8" s="181"/>
      <c r="AM8" s="175"/>
      <c r="AN8" s="192"/>
      <c r="AO8" s="13"/>
      <c r="AP8" s="181"/>
      <c r="AQ8" s="175"/>
      <c r="AR8" s="18"/>
      <c r="AS8" s="12"/>
      <c r="AT8" s="12"/>
      <c r="AU8" s="12"/>
      <c r="AV8" s="12"/>
      <c r="AW8" s="137"/>
      <c r="AX8" s="13"/>
      <c r="AY8" s="138"/>
      <c r="AZ8" s="140"/>
      <c r="BA8" s="18"/>
      <c r="BB8" s="18" t="e">
        <f>IF(#REF!&lt;&gt;0,IF(LL[[#This Row],[Date of Birth]]&lt;&gt;0,YEAR(#REF!-LL[[#This Row],[Date of Birth]])-1900,""),"")</f>
        <v>#REF!</v>
      </c>
      <c r="BC8" s="2" t="str">
        <f>IF(LL[[#This Row],[Sx Onset Date]]&gt;0,LL[[#This Row],[Sx Onset Date]],"")</f>
        <v/>
      </c>
      <c r="BD8" s="2" t="str">
        <f>IF(LL[[#This Row],[Lab-confirmed?]]="Y",LL[[#This Row],[Test Date]],"")</f>
        <v/>
      </c>
      <c r="BE8" s="2" t="str">
        <f>IF(LL[[#This Row],[Lab-confirmed?]]="Y",LL[[#This Row],[Test Date 2]],"")</f>
        <v/>
      </c>
      <c r="BF8" s="139" t="str">
        <f>IF(LL[[#This Row],[Date Reported to Public Health]]&gt;0,LL[[#This Row],[Date Reported to Public Health]],"")</f>
        <v/>
      </c>
      <c r="BG8" s="13" t="str">
        <f t="shared" si="0"/>
        <v/>
      </c>
    </row>
    <row r="9" spans="1:59" x14ac:dyDescent="0.3">
      <c r="A9" s="11">
        <v>5</v>
      </c>
      <c r="B9" s="12"/>
      <c r="C9" s="13"/>
      <c r="D9" s="12"/>
      <c r="E9" s="12"/>
      <c r="F9" s="12"/>
      <c r="G9" s="16"/>
      <c r="H9" s="12"/>
      <c r="I9" s="14"/>
      <c r="J9" s="137"/>
      <c r="K9" s="137"/>
      <c r="L9" s="18"/>
      <c r="M9" s="139"/>
      <c r="N9" s="140"/>
      <c r="O9" s="137"/>
      <c r="P9" s="137"/>
      <c r="Q9" s="15"/>
      <c r="R9" s="12"/>
      <c r="S9" s="12"/>
      <c r="T9" s="12"/>
      <c r="U9" s="14"/>
      <c r="V9" s="15"/>
      <c r="W9" s="12"/>
      <c r="X9" s="12"/>
      <c r="Y9" s="12"/>
      <c r="Z9" s="12"/>
      <c r="AA9" s="12"/>
      <c r="AB9" s="14"/>
      <c r="AC9" s="15"/>
      <c r="AD9" s="12"/>
      <c r="AE9" s="12"/>
      <c r="AF9" s="14"/>
      <c r="AG9" s="18"/>
      <c r="AH9" s="18"/>
      <c r="AI9" s="17"/>
      <c r="AJ9" s="181"/>
      <c r="AK9" s="13"/>
      <c r="AL9" s="181"/>
      <c r="AM9" s="175"/>
      <c r="AN9" s="192"/>
      <c r="AO9" s="13"/>
      <c r="AP9" s="181"/>
      <c r="AQ9" s="175"/>
      <c r="AR9" s="18"/>
      <c r="AS9" s="12"/>
      <c r="AT9" s="12"/>
      <c r="AU9" s="12"/>
      <c r="AV9" s="12"/>
      <c r="AW9" s="137"/>
      <c r="AX9" s="13"/>
      <c r="AY9" s="138"/>
      <c r="AZ9" s="140"/>
      <c r="BA9" s="18"/>
      <c r="BB9" s="18" t="e">
        <f>IF(#REF!&lt;&gt;0,IF(LL[[#This Row],[Date of Birth]]&lt;&gt;0,YEAR(#REF!-LL[[#This Row],[Date of Birth]])-1900,""),"")</f>
        <v>#REF!</v>
      </c>
      <c r="BC9" s="2" t="str">
        <f>IF(LL[[#This Row],[Sx Onset Date]]&gt;0,LL[[#This Row],[Sx Onset Date]],"")</f>
        <v/>
      </c>
      <c r="BD9" s="2" t="str">
        <f>IF(LL[[#This Row],[Lab-confirmed?]]="Y",LL[[#This Row],[Test Date]],"")</f>
        <v/>
      </c>
      <c r="BE9" s="2" t="str">
        <f>IF(LL[[#This Row],[Lab-confirmed?]]="Y",LL[[#This Row],[Test Date 2]],"")</f>
        <v/>
      </c>
      <c r="BF9" s="139" t="str">
        <f>IF(LL[[#This Row],[Date Reported to Public Health]]&gt;0,LL[[#This Row],[Date Reported to Public Health]],"")</f>
        <v/>
      </c>
      <c r="BG9" s="13" t="str">
        <f t="shared" si="0"/>
        <v/>
      </c>
    </row>
    <row r="10" spans="1:59" x14ac:dyDescent="0.3">
      <c r="A10" s="11">
        <v>6</v>
      </c>
      <c r="B10" s="12"/>
      <c r="C10" s="13"/>
      <c r="D10" s="12"/>
      <c r="E10" s="12"/>
      <c r="F10" s="12"/>
      <c r="G10" s="16"/>
      <c r="H10" s="12"/>
      <c r="I10" s="14"/>
      <c r="J10" s="137"/>
      <c r="K10" s="137"/>
      <c r="L10" s="18"/>
      <c r="M10" s="139"/>
      <c r="N10" s="140"/>
      <c r="O10" s="137"/>
      <c r="P10" s="137"/>
      <c r="Q10" s="15"/>
      <c r="R10" s="12"/>
      <c r="S10" s="12"/>
      <c r="T10" s="12"/>
      <c r="U10" s="14"/>
      <c r="V10" s="15"/>
      <c r="W10" s="12"/>
      <c r="X10" s="12"/>
      <c r="Y10" s="12"/>
      <c r="Z10" s="12"/>
      <c r="AA10" s="12"/>
      <c r="AB10" s="14"/>
      <c r="AC10" s="15"/>
      <c r="AD10" s="12"/>
      <c r="AE10" s="12"/>
      <c r="AF10" s="14"/>
      <c r="AG10" s="18"/>
      <c r="AH10" s="18"/>
      <c r="AI10" s="17"/>
      <c r="AJ10" s="181"/>
      <c r="AK10" s="13"/>
      <c r="AL10" s="181"/>
      <c r="AM10" s="175"/>
      <c r="AN10" s="192"/>
      <c r="AO10" s="13"/>
      <c r="AP10" s="181"/>
      <c r="AQ10" s="175"/>
      <c r="AR10" s="18"/>
      <c r="AS10" s="12"/>
      <c r="AT10" s="12"/>
      <c r="AU10" s="12"/>
      <c r="AV10" s="12"/>
      <c r="AW10" s="137"/>
      <c r="AX10" s="13"/>
      <c r="AY10" s="138"/>
      <c r="AZ10" s="140"/>
      <c r="BA10" s="18"/>
      <c r="BB10" s="18" t="e">
        <f>IF(#REF!&lt;&gt;0,IF(LL[[#This Row],[Date of Birth]]&lt;&gt;0,YEAR(#REF!-LL[[#This Row],[Date of Birth]])-1900,""),"")</f>
        <v>#REF!</v>
      </c>
      <c r="BC10" s="2" t="str">
        <f>IF(LL[[#This Row],[Sx Onset Date]]&gt;0,LL[[#This Row],[Sx Onset Date]],"")</f>
        <v/>
      </c>
      <c r="BD10" s="2" t="str">
        <f>IF(LL[[#This Row],[Lab-confirmed?]]="Y",LL[[#This Row],[Test Date]],"")</f>
        <v/>
      </c>
      <c r="BE10" s="2" t="str">
        <f>IF(LL[[#This Row],[Lab-confirmed?]]="Y",LL[[#This Row],[Test Date 2]],"")</f>
        <v/>
      </c>
      <c r="BF10" s="139" t="str">
        <f>IF(LL[[#This Row],[Date Reported to Public Health]]&gt;0,LL[[#This Row],[Date Reported to Public Health]],"")</f>
        <v/>
      </c>
      <c r="BG10" s="13" t="str">
        <f t="shared" si="0"/>
        <v/>
      </c>
    </row>
    <row r="11" spans="1:59" x14ac:dyDescent="0.3">
      <c r="A11" s="11">
        <v>7</v>
      </c>
      <c r="B11" s="12"/>
      <c r="C11" s="13"/>
      <c r="D11" s="12"/>
      <c r="E11" s="12"/>
      <c r="F11" s="12"/>
      <c r="G11" s="16"/>
      <c r="H11" s="12"/>
      <c r="I11" s="14"/>
      <c r="J11" s="137"/>
      <c r="K11" s="137"/>
      <c r="L11" s="18"/>
      <c r="M11" s="139"/>
      <c r="N11" s="140"/>
      <c r="O11" s="137"/>
      <c r="P11" s="137"/>
      <c r="Q11" s="15"/>
      <c r="R11" s="12"/>
      <c r="S11" s="12"/>
      <c r="T11" s="12"/>
      <c r="U11" s="14"/>
      <c r="V11" s="15"/>
      <c r="W11" s="12"/>
      <c r="X11" s="12"/>
      <c r="Y11" s="12"/>
      <c r="Z11" s="12"/>
      <c r="AA11" s="12"/>
      <c r="AB11" s="14"/>
      <c r="AC11" s="15"/>
      <c r="AD11" s="12"/>
      <c r="AE11" s="12"/>
      <c r="AF11" s="14"/>
      <c r="AG11" s="18"/>
      <c r="AH11" s="18"/>
      <c r="AI11" s="17"/>
      <c r="AJ11" s="181"/>
      <c r="AK11" s="13"/>
      <c r="AL11" s="181"/>
      <c r="AM11" s="175"/>
      <c r="AN11" s="192"/>
      <c r="AO11" s="13"/>
      <c r="AP11" s="181"/>
      <c r="AQ11" s="175"/>
      <c r="AR11" s="18"/>
      <c r="AS11" s="12"/>
      <c r="AT11" s="12"/>
      <c r="AU11" s="12"/>
      <c r="AV11" s="12"/>
      <c r="AW11" s="137"/>
      <c r="AX11" s="13"/>
      <c r="AY11" s="138"/>
      <c r="AZ11" s="140"/>
      <c r="BA11" s="18"/>
      <c r="BB11" s="18" t="e">
        <f>IF(#REF!&lt;&gt;0,IF(LL[[#This Row],[Date of Birth]]&lt;&gt;0,YEAR(#REF!-LL[[#This Row],[Date of Birth]])-1900,""),"")</f>
        <v>#REF!</v>
      </c>
      <c r="BC11" s="2" t="str">
        <f>IF(LL[[#This Row],[Sx Onset Date]]&gt;0,LL[[#This Row],[Sx Onset Date]],"")</f>
        <v/>
      </c>
      <c r="BD11" s="2" t="str">
        <f>IF(LL[[#This Row],[Lab-confirmed?]]="Y",LL[[#This Row],[Test Date]],"")</f>
        <v/>
      </c>
      <c r="BE11" s="2" t="str">
        <f>IF(LL[[#This Row],[Lab-confirmed?]]="Y",LL[[#This Row],[Test Date 2]],"")</f>
        <v/>
      </c>
      <c r="BF11" s="139" t="str">
        <f>IF(LL[[#This Row],[Date Reported to Public Health]]&gt;0,LL[[#This Row],[Date Reported to Public Health]],"")</f>
        <v/>
      </c>
      <c r="BG11" s="13" t="str">
        <f t="shared" si="0"/>
        <v/>
      </c>
    </row>
    <row r="12" spans="1:59" x14ac:dyDescent="0.3">
      <c r="A12" s="11">
        <v>8</v>
      </c>
      <c r="B12" s="12"/>
      <c r="C12" s="13"/>
      <c r="D12" s="12"/>
      <c r="E12" s="12"/>
      <c r="F12" s="12"/>
      <c r="G12" s="16"/>
      <c r="H12" s="12"/>
      <c r="I12" s="14"/>
      <c r="J12" s="137"/>
      <c r="K12" s="137"/>
      <c r="L12" s="18"/>
      <c r="M12" s="139"/>
      <c r="N12" s="140"/>
      <c r="O12" s="137"/>
      <c r="P12" s="137"/>
      <c r="Q12" s="15"/>
      <c r="R12" s="12"/>
      <c r="S12" s="12"/>
      <c r="T12" s="12"/>
      <c r="U12" s="14"/>
      <c r="V12" s="15"/>
      <c r="W12" s="12"/>
      <c r="X12" s="12"/>
      <c r="Y12" s="12"/>
      <c r="Z12" s="12"/>
      <c r="AA12" s="12"/>
      <c r="AB12" s="14"/>
      <c r="AC12" s="15"/>
      <c r="AD12" s="12"/>
      <c r="AE12" s="12"/>
      <c r="AF12" s="14"/>
      <c r="AG12" s="18"/>
      <c r="AH12" s="18"/>
      <c r="AI12" s="17"/>
      <c r="AJ12" s="181"/>
      <c r="AK12" s="13"/>
      <c r="AL12" s="181"/>
      <c r="AM12" s="175"/>
      <c r="AN12" s="192"/>
      <c r="AO12" s="13"/>
      <c r="AP12" s="181"/>
      <c r="AQ12" s="175"/>
      <c r="AR12" s="18"/>
      <c r="AS12" s="12"/>
      <c r="AT12" s="12"/>
      <c r="AU12" s="12"/>
      <c r="AV12" s="12"/>
      <c r="AW12" s="137"/>
      <c r="AX12" s="13"/>
      <c r="AY12" s="138"/>
      <c r="AZ12" s="140"/>
      <c r="BA12" s="18"/>
      <c r="BB12" s="18" t="e">
        <f>IF(#REF!&lt;&gt;0,IF(LL[[#This Row],[Date of Birth]]&lt;&gt;0,YEAR(#REF!-LL[[#This Row],[Date of Birth]])-1900,""),"")</f>
        <v>#REF!</v>
      </c>
      <c r="BC12" s="2" t="str">
        <f>IF(LL[[#This Row],[Sx Onset Date]]&gt;0,LL[[#This Row],[Sx Onset Date]],"")</f>
        <v/>
      </c>
      <c r="BD12" s="2" t="str">
        <f>IF(LL[[#This Row],[Lab-confirmed?]]="Y",LL[[#This Row],[Test Date]],"")</f>
        <v/>
      </c>
      <c r="BE12" s="2" t="str">
        <f>IF(LL[[#This Row],[Lab-confirmed?]]="Y",LL[[#This Row],[Test Date 2]],"")</f>
        <v/>
      </c>
      <c r="BF12" s="139" t="str">
        <f>IF(LL[[#This Row],[Date Reported to Public Health]]&gt;0,LL[[#This Row],[Date Reported to Public Health]],"")</f>
        <v/>
      </c>
      <c r="BG12" s="13" t="str">
        <f t="shared" si="0"/>
        <v/>
      </c>
    </row>
    <row r="13" spans="1:59" x14ac:dyDescent="0.3">
      <c r="A13" s="11">
        <v>9</v>
      </c>
      <c r="B13" s="12"/>
      <c r="C13" s="13"/>
      <c r="D13" s="12"/>
      <c r="E13" s="12"/>
      <c r="F13" s="12"/>
      <c r="G13" s="16"/>
      <c r="H13" s="12"/>
      <c r="I13" s="14"/>
      <c r="J13" s="137"/>
      <c r="K13" s="137"/>
      <c r="L13" s="18"/>
      <c r="M13" s="139"/>
      <c r="N13" s="140"/>
      <c r="O13" s="137"/>
      <c r="P13" s="137"/>
      <c r="Q13" s="15"/>
      <c r="R13" s="12"/>
      <c r="S13" s="12"/>
      <c r="T13" s="12"/>
      <c r="U13" s="14"/>
      <c r="V13" s="15"/>
      <c r="W13" s="12"/>
      <c r="X13" s="12"/>
      <c r="Y13" s="12"/>
      <c r="Z13" s="12"/>
      <c r="AA13" s="12"/>
      <c r="AB13" s="14"/>
      <c r="AC13" s="15"/>
      <c r="AD13" s="12"/>
      <c r="AE13" s="12"/>
      <c r="AF13" s="14"/>
      <c r="AG13" s="18"/>
      <c r="AH13" s="18"/>
      <c r="AI13" s="17"/>
      <c r="AJ13" s="181"/>
      <c r="AK13" s="13"/>
      <c r="AL13" s="181"/>
      <c r="AM13" s="175"/>
      <c r="AN13" s="192"/>
      <c r="AO13" s="13"/>
      <c r="AP13" s="181"/>
      <c r="AQ13" s="175"/>
      <c r="AR13" s="18"/>
      <c r="AS13" s="12"/>
      <c r="AT13" s="12"/>
      <c r="AU13" s="12"/>
      <c r="AV13" s="12"/>
      <c r="AW13" s="137"/>
      <c r="AX13" s="13"/>
      <c r="AY13" s="138"/>
      <c r="AZ13" s="140"/>
      <c r="BA13" s="18"/>
      <c r="BB13" s="18" t="e">
        <f>IF(#REF!&lt;&gt;0,IF(LL[[#This Row],[Date of Birth]]&lt;&gt;0,YEAR(#REF!-LL[[#This Row],[Date of Birth]])-1900,""),"")</f>
        <v>#REF!</v>
      </c>
      <c r="BC13" s="2" t="str">
        <f>IF(LL[[#This Row],[Sx Onset Date]]&gt;0,LL[[#This Row],[Sx Onset Date]],"")</f>
        <v/>
      </c>
      <c r="BD13" s="2" t="str">
        <f>IF(LL[[#This Row],[Lab-confirmed?]]="Y",LL[[#This Row],[Test Date]],"")</f>
        <v/>
      </c>
      <c r="BE13" s="2" t="str">
        <f>IF(LL[[#This Row],[Lab-confirmed?]]="Y",LL[[#This Row],[Test Date 2]],"")</f>
        <v/>
      </c>
      <c r="BF13" s="139" t="str">
        <f>IF(LL[[#This Row],[Date Reported to Public Health]]&gt;0,LL[[#This Row],[Date Reported to Public Health]],"")</f>
        <v/>
      </c>
      <c r="BG13" s="13" t="str">
        <f t="shared" si="0"/>
        <v/>
      </c>
    </row>
    <row r="14" spans="1:59" x14ac:dyDescent="0.3">
      <c r="A14" s="11">
        <v>10</v>
      </c>
      <c r="B14" s="12"/>
      <c r="C14" s="13"/>
      <c r="D14" s="12"/>
      <c r="E14" s="12"/>
      <c r="F14" s="12"/>
      <c r="G14" s="16"/>
      <c r="H14" s="12"/>
      <c r="I14" s="14"/>
      <c r="J14" s="137"/>
      <c r="K14" s="137"/>
      <c r="L14" s="18"/>
      <c r="M14" s="139"/>
      <c r="N14" s="140"/>
      <c r="O14" s="137"/>
      <c r="P14" s="137"/>
      <c r="Q14" s="15"/>
      <c r="R14" s="12"/>
      <c r="S14" s="12"/>
      <c r="T14" s="12"/>
      <c r="U14" s="14"/>
      <c r="V14" s="15"/>
      <c r="W14" s="12"/>
      <c r="X14" s="12"/>
      <c r="Y14" s="12"/>
      <c r="Z14" s="12"/>
      <c r="AA14" s="12"/>
      <c r="AB14" s="14"/>
      <c r="AC14" s="15"/>
      <c r="AD14" s="12"/>
      <c r="AE14" s="12"/>
      <c r="AF14" s="14"/>
      <c r="AG14" s="18"/>
      <c r="AH14" s="18"/>
      <c r="AI14" s="17"/>
      <c r="AJ14" s="181"/>
      <c r="AK14" s="13"/>
      <c r="AL14" s="181"/>
      <c r="AM14" s="175"/>
      <c r="AN14" s="192"/>
      <c r="AO14" s="13"/>
      <c r="AP14" s="181"/>
      <c r="AQ14" s="175"/>
      <c r="AR14" s="18"/>
      <c r="AS14" s="12"/>
      <c r="AT14" s="12"/>
      <c r="AU14" s="12"/>
      <c r="AV14" s="12"/>
      <c r="AW14" s="137"/>
      <c r="AX14" s="13"/>
      <c r="AY14" s="138"/>
      <c r="AZ14" s="140"/>
      <c r="BA14" s="18"/>
      <c r="BB14" s="18" t="e">
        <f>IF(#REF!&lt;&gt;0,IF(LL[[#This Row],[Date of Birth]]&lt;&gt;0,YEAR(#REF!-LL[[#This Row],[Date of Birth]])-1900,""),"")</f>
        <v>#REF!</v>
      </c>
      <c r="BC14" s="2" t="str">
        <f>IF(LL[[#This Row],[Sx Onset Date]]&gt;0,LL[[#This Row],[Sx Onset Date]],"")</f>
        <v/>
      </c>
      <c r="BD14" s="2" t="str">
        <f>IF(LL[[#This Row],[Lab-confirmed?]]="Y",LL[[#This Row],[Test Date]],"")</f>
        <v/>
      </c>
      <c r="BE14" s="2" t="str">
        <f>IF(LL[[#This Row],[Lab-confirmed?]]="Y",LL[[#This Row],[Test Date 2]],"")</f>
        <v/>
      </c>
      <c r="BF14" s="139" t="str">
        <f>IF(LL[[#This Row],[Date Reported to Public Health]]&gt;0,LL[[#This Row],[Date Reported to Public Health]],"")</f>
        <v/>
      </c>
      <c r="BG14" s="13" t="str">
        <f t="shared" si="0"/>
        <v/>
      </c>
    </row>
    <row r="15" spans="1:59" x14ac:dyDescent="0.3">
      <c r="A15" s="11">
        <v>11</v>
      </c>
      <c r="B15" s="12"/>
      <c r="C15" s="13"/>
      <c r="D15" s="12"/>
      <c r="E15" s="12"/>
      <c r="F15" s="12"/>
      <c r="G15" s="16"/>
      <c r="H15" s="12"/>
      <c r="I15" s="14"/>
      <c r="J15" s="137"/>
      <c r="K15" s="137"/>
      <c r="L15" s="18"/>
      <c r="M15" s="139"/>
      <c r="N15" s="140"/>
      <c r="O15" s="137"/>
      <c r="P15" s="137"/>
      <c r="Q15" s="15"/>
      <c r="R15" s="12"/>
      <c r="S15" s="12"/>
      <c r="T15" s="12"/>
      <c r="U15" s="14"/>
      <c r="V15" s="15"/>
      <c r="W15" s="12"/>
      <c r="X15" s="12"/>
      <c r="Y15" s="12"/>
      <c r="Z15" s="12"/>
      <c r="AA15" s="12"/>
      <c r="AB15" s="14"/>
      <c r="AC15" s="15"/>
      <c r="AD15" s="12"/>
      <c r="AE15" s="12"/>
      <c r="AF15" s="14"/>
      <c r="AG15" s="18"/>
      <c r="AH15" s="18"/>
      <c r="AI15" s="17"/>
      <c r="AJ15" s="181"/>
      <c r="AK15" s="13"/>
      <c r="AL15" s="181"/>
      <c r="AM15" s="175"/>
      <c r="AN15" s="192"/>
      <c r="AO15" s="13"/>
      <c r="AP15" s="181"/>
      <c r="AQ15" s="175"/>
      <c r="AR15" s="18"/>
      <c r="AS15" s="12"/>
      <c r="AT15" s="12"/>
      <c r="AU15" s="12"/>
      <c r="AV15" s="12"/>
      <c r="AW15" s="137"/>
      <c r="AX15" s="13"/>
      <c r="AY15" s="138"/>
      <c r="AZ15" s="140"/>
      <c r="BA15" s="18"/>
      <c r="BB15" s="18" t="e">
        <f>IF(#REF!&lt;&gt;0,IF(LL[[#This Row],[Date of Birth]]&lt;&gt;0,YEAR(#REF!-LL[[#This Row],[Date of Birth]])-1900,""),"")</f>
        <v>#REF!</v>
      </c>
      <c r="BC15" s="2" t="str">
        <f>IF(LL[[#This Row],[Sx Onset Date]]&gt;0,LL[[#This Row],[Sx Onset Date]],"")</f>
        <v/>
      </c>
      <c r="BD15" s="2" t="str">
        <f>IF(LL[[#This Row],[Lab-confirmed?]]="Y",LL[[#This Row],[Test Date]],"")</f>
        <v/>
      </c>
      <c r="BE15" s="2" t="str">
        <f>IF(LL[[#This Row],[Lab-confirmed?]]="Y",LL[[#This Row],[Test Date 2]],"")</f>
        <v/>
      </c>
      <c r="BF15" s="139" t="str">
        <f>IF(LL[[#This Row],[Date Reported to Public Health]]&gt;0,LL[[#This Row],[Date Reported to Public Health]],"")</f>
        <v/>
      </c>
      <c r="BG15" s="13" t="str">
        <f t="shared" si="0"/>
        <v/>
      </c>
    </row>
    <row r="16" spans="1:59" x14ac:dyDescent="0.3">
      <c r="A16" s="11">
        <v>12</v>
      </c>
      <c r="B16" s="12"/>
      <c r="C16" s="13"/>
      <c r="D16" s="12"/>
      <c r="E16" s="12"/>
      <c r="F16" s="12"/>
      <c r="G16" s="16"/>
      <c r="H16" s="12"/>
      <c r="I16" s="14"/>
      <c r="J16" s="137"/>
      <c r="K16" s="137"/>
      <c r="L16" s="18"/>
      <c r="M16" s="139"/>
      <c r="N16" s="140"/>
      <c r="O16" s="137"/>
      <c r="P16" s="137"/>
      <c r="Q16" s="15"/>
      <c r="R16" s="12"/>
      <c r="S16" s="12"/>
      <c r="T16" s="12"/>
      <c r="U16" s="14"/>
      <c r="V16" s="15"/>
      <c r="W16" s="12"/>
      <c r="X16" s="12"/>
      <c r="Y16" s="12"/>
      <c r="Z16" s="12"/>
      <c r="AA16" s="12"/>
      <c r="AB16" s="14"/>
      <c r="AC16" s="15"/>
      <c r="AD16" s="12"/>
      <c r="AE16" s="12"/>
      <c r="AF16" s="14"/>
      <c r="AG16" s="18"/>
      <c r="AH16" s="18"/>
      <c r="AI16" s="17"/>
      <c r="AJ16" s="181"/>
      <c r="AK16" s="13"/>
      <c r="AL16" s="181"/>
      <c r="AM16" s="175"/>
      <c r="AN16" s="192"/>
      <c r="AO16" s="13"/>
      <c r="AP16" s="181"/>
      <c r="AQ16" s="175"/>
      <c r="AR16" s="18"/>
      <c r="AS16" s="12"/>
      <c r="AT16" s="12"/>
      <c r="AU16" s="12"/>
      <c r="AV16" s="12"/>
      <c r="AW16" s="137"/>
      <c r="AX16" s="13"/>
      <c r="AY16" s="138"/>
      <c r="AZ16" s="140"/>
      <c r="BA16" s="18"/>
      <c r="BB16" s="18" t="e">
        <f>IF(#REF!&lt;&gt;0,IF(LL[[#This Row],[Date of Birth]]&lt;&gt;0,YEAR(#REF!-LL[[#This Row],[Date of Birth]])-1900,""),"")</f>
        <v>#REF!</v>
      </c>
      <c r="BC16" s="2" t="str">
        <f>IF(LL[[#This Row],[Sx Onset Date]]&gt;0,LL[[#This Row],[Sx Onset Date]],"")</f>
        <v/>
      </c>
      <c r="BD16" s="2" t="str">
        <f>IF(LL[[#This Row],[Lab-confirmed?]]="Y",LL[[#This Row],[Test Date]],"")</f>
        <v/>
      </c>
      <c r="BE16" s="2" t="str">
        <f>IF(LL[[#This Row],[Lab-confirmed?]]="Y",LL[[#This Row],[Test Date 2]],"")</f>
        <v/>
      </c>
      <c r="BF16" s="139" t="str">
        <f>IF(LL[[#This Row],[Date Reported to Public Health]]&gt;0,LL[[#This Row],[Date Reported to Public Health]],"")</f>
        <v/>
      </c>
      <c r="BG16" s="13" t="str">
        <f t="shared" si="0"/>
        <v/>
      </c>
    </row>
    <row r="17" spans="1:59" x14ac:dyDescent="0.3">
      <c r="A17" s="11">
        <v>13</v>
      </c>
      <c r="B17" s="12"/>
      <c r="C17" s="13"/>
      <c r="D17" s="12"/>
      <c r="E17" s="12"/>
      <c r="F17" s="12"/>
      <c r="G17" s="16"/>
      <c r="H17" s="12"/>
      <c r="I17" s="14"/>
      <c r="J17" s="137"/>
      <c r="K17" s="137"/>
      <c r="L17" s="18"/>
      <c r="M17" s="139"/>
      <c r="N17" s="140"/>
      <c r="O17" s="137"/>
      <c r="P17" s="137"/>
      <c r="Q17" s="15"/>
      <c r="R17" s="12"/>
      <c r="S17" s="12"/>
      <c r="T17" s="12"/>
      <c r="U17" s="14"/>
      <c r="V17" s="15"/>
      <c r="W17" s="12"/>
      <c r="X17" s="12"/>
      <c r="Y17" s="12"/>
      <c r="Z17" s="12"/>
      <c r="AA17" s="12"/>
      <c r="AB17" s="14"/>
      <c r="AC17" s="15"/>
      <c r="AD17" s="12"/>
      <c r="AE17" s="12"/>
      <c r="AF17" s="14"/>
      <c r="AG17" s="18"/>
      <c r="AH17" s="18"/>
      <c r="AI17" s="17"/>
      <c r="AJ17" s="181"/>
      <c r="AK17" s="13"/>
      <c r="AL17" s="181"/>
      <c r="AM17" s="175"/>
      <c r="AN17" s="192"/>
      <c r="AO17" s="13"/>
      <c r="AP17" s="181"/>
      <c r="AQ17" s="175"/>
      <c r="AR17" s="18"/>
      <c r="AS17" s="12"/>
      <c r="AT17" s="12"/>
      <c r="AU17" s="12"/>
      <c r="AV17" s="12"/>
      <c r="AW17" s="137"/>
      <c r="AX17" s="13"/>
      <c r="AY17" s="138"/>
      <c r="AZ17" s="140"/>
      <c r="BA17" s="18"/>
      <c r="BB17" s="18" t="e">
        <f>IF(#REF!&lt;&gt;0,IF(LL[[#This Row],[Date of Birth]]&lt;&gt;0,YEAR(#REF!-LL[[#This Row],[Date of Birth]])-1900,""),"")</f>
        <v>#REF!</v>
      </c>
      <c r="BC17" s="2" t="str">
        <f>IF(LL[[#This Row],[Sx Onset Date]]&gt;0,LL[[#This Row],[Sx Onset Date]],"")</f>
        <v/>
      </c>
      <c r="BD17" s="2" t="str">
        <f>IF(LL[[#This Row],[Lab-confirmed?]]="Y",LL[[#This Row],[Test Date]],"")</f>
        <v/>
      </c>
      <c r="BE17" s="2" t="str">
        <f>IF(LL[[#This Row],[Lab-confirmed?]]="Y",LL[[#This Row],[Test Date 2]],"")</f>
        <v/>
      </c>
      <c r="BF17" s="139" t="str">
        <f>IF(LL[[#This Row],[Date Reported to Public Health]]&gt;0,LL[[#This Row],[Date Reported to Public Health]],"")</f>
        <v/>
      </c>
      <c r="BG17" s="13" t="str">
        <f t="shared" si="0"/>
        <v/>
      </c>
    </row>
    <row r="18" spans="1:59" x14ac:dyDescent="0.3">
      <c r="A18" s="11">
        <v>14</v>
      </c>
      <c r="B18" s="12"/>
      <c r="C18" s="13"/>
      <c r="D18" s="12"/>
      <c r="E18" s="12"/>
      <c r="F18" s="12"/>
      <c r="G18" s="16"/>
      <c r="H18" s="12"/>
      <c r="I18" s="14"/>
      <c r="J18" s="137"/>
      <c r="K18" s="137"/>
      <c r="L18" s="18"/>
      <c r="M18" s="139"/>
      <c r="N18" s="140"/>
      <c r="O18" s="137"/>
      <c r="P18" s="137"/>
      <c r="Q18" s="15"/>
      <c r="R18" s="12"/>
      <c r="S18" s="12"/>
      <c r="T18" s="12"/>
      <c r="U18" s="14"/>
      <c r="V18" s="15"/>
      <c r="W18" s="12"/>
      <c r="X18" s="12"/>
      <c r="Y18" s="12"/>
      <c r="Z18" s="12"/>
      <c r="AA18" s="12"/>
      <c r="AB18" s="14"/>
      <c r="AC18" s="15"/>
      <c r="AD18" s="12"/>
      <c r="AE18" s="12"/>
      <c r="AF18" s="14"/>
      <c r="AG18" s="18"/>
      <c r="AH18" s="18"/>
      <c r="AI18" s="17"/>
      <c r="AJ18" s="181"/>
      <c r="AK18" s="13"/>
      <c r="AL18" s="181"/>
      <c r="AM18" s="175"/>
      <c r="AN18" s="192"/>
      <c r="AO18" s="13"/>
      <c r="AP18" s="181"/>
      <c r="AQ18" s="175"/>
      <c r="AR18" s="18"/>
      <c r="AS18" s="12"/>
      <c r="AT18" s="12"/>
      <c r="AU18" s="12"/>
      <c r="AV18" s="12"/>
      <c r="AW18" s="137"/>
      <c r="AX18" s="13"/>
      <c r="AY18" s="138"/>
      <c r="AZ18" s="140"/>
      <c r="BA18" s="18"/>
      <c r="BB18" s="18" t="e">
        <f>IF(#REF!&lt;&gt;0,IF(LL[[#This Row],[Date of Birth]]&lt;&gt;0,YEAR(#REF!-LL[[#This Row],[Date of Birth]])-1900,""),"")</f>
        <v>#REF!</v>
      </c>
      <c r="BC18" s="2" t="str">
        <f>IF(LL[[#This Row],[Sx Onset Date]]&gt;0,LL[[#This Row],[Sx Onset Date]],"")</f>
        <v/>
      </c>
      <c r="BD18" s="2" t="str">
        <f>IF(LL[[#This Row],[Lab-confirmed?]]="Y",LL[[#This Row],[Test Date]],"")</f>
        <v/>
      </c>
      <c r="BE18" s="2" t="str">
        <f>IF(LL[[#This Row],[Lab-confirmed?]]="Y",LL[[#This Row],[Test Date 2]],"")</f>
        <v/>
      </c>
      <c r="BF18" s="139" t="str">
        <f>IF(LL[[#This Row],[Date Reported to Public Health]]&gt;0,LL[[#This Row],[Date Reported to Public Health]],"")</f>
        <v/>
      </c>
      <c r="BG18" s="13" t="str">
        <f t="shared" si="0"/>
        <v/>
      </c>
    </row>
    <row r="19" spans="1:59" x14ac:dyDescent="0.3">
      <c r="A19" s="11">
        <v>15</v>
      </c>
      <c r="B19" s="12"/>
      <c r="C19" s="13"/>
      <c r="D19" s="12"/>
      <c r="E19" s="12"/>
      <c r="F19" s="12"/>
      <c r="G19" s="16"/>
      <c r="H19" s="12"/>
      <c r="I19" s="14"/>
      <c r="J19" s="137"/>
      <c r="K19" s="137"/>
      <c r="L19" s="18"/>
      <c r="M19" s="139"/>
      <c r="N19" s="140"/>
      <c r="O19" s="137"/>
      <c r="P19" s="137"/>
      <c r="Q19" s="15"/>
      <c r="R19" s="12"/>
      <c r="S19" s="12"/>
      <c r="T19" s="12"/>
      <c r="U19" s="14"/>
      <c r="V19" s="15"/>
      <c r="W19" s="12"/>
      <c r="X19" s="12"/>
      <c r="Y19" s="12"/>
      <c r="Z19" s="12"/>
      <c r="AA19" s="12"/>
      <c r="AB19" s="14"/>
      <c r="AC19" s="15"/>
      <c r="AD19" s="12"/>
      <c r="AE19" s="12"/>
      <c r="AF19" s="14"/>
      <c r="AG19" s="18"/>
      <c r="AH19" s="18"/>
      <c r="AI19" s="17"/>
      <c r="AJ19" s="181"/>
      <c r="AK19" s="13"/>
      <c r="AL19" s="181"/>
      <c r="AM19" s="175"/>
      <c r="AN19" s="192"/>
      <c r="AO19" s="13"/>
      <c r="AP19" s="181"/>
      <c r="AQ19" s="175"/>
      <c r="AR19" s="18"/>
      <c r="AS19" s="12"/>
      <c r="AT19" s="12"/>
      <c r="AU19" s="12"/>
      <c r="AV19" s="12"/>
      <c r="AW19" s="137"/>
      <c r="AX19" s="13"/>
      <c r="AY19" s="138"/>
      <c r="AZ19" s="140"/>
      <c r="BA19" s="18"/>
      <c r="BB19" s="18" t="e">
        <f>IF(#REF!&lt;&gt;0,IF(LL[[#This Row],[Date of Birth]]&lt;&gt;0,YEAR(#REF!-LL[[#This Row],[Date of Birth]])-1900,""),"")</f>
        <v>#REF!</v>
      </c>
      <c r="BC19" s="2" t="str">
        <f>IF(LL[[#This Row],[Sx Onset Date]]&gt;0,LL[[#This Row],[Sx Onset Date]],"")</f>
        <v/>
      </c>
      <c r="BD19" s="2" t="str">
        <f>IF(LL[[#This Row],[Lab-confirmed?]]="Y",LL[[#This Row],[Test Date]],"")</f>
        <v/>
      </c>
      <c r="BE19" s="2" t="str">
        <f>IF(LL[[#This Row],[Lab-confirmed?]]="Y",LL[[#This Row],[Test Date 2]],"")</f>
        <v/>
      </c>
      <c r="BF19" s="139" t="str">
        <f>IF(LL[[#This Row],[Date Reported to Public Health]]&gt;0,LL[[#This Row],[Date Reported to Public Health]],"")</f>
        <v/>
      </c>
      <c r="BG19" s="13" t="str">
        <f t="shared" si="0"/>
        <v/>
      </c>
    </row>
    <row r="20" spans="1:59" x14ac:dyDescent="0.3">
      <c r="A20" s="11">
        <v>16</v>
      </c>
      <c r="B20" s="12"/>
      <c r="C20" s="13"/>
      <c r="D20" s="12"/>
      <c r="E20" s="12"/>
      <c r="F20" s="12"/>
      <c r="G20" s="16"/>
      <c r="H20" s="12"/>
      <c r="I20" s="14"/>
      <c r="J20" s="137"/>
      <c r="K20" s="137"/>
      <c r="L20" s="18"/>
      <c r="M20" s="139"/>
      <c r="N20" s="140"/>
      <c r="O20" s="137"/>
      <c r="P20" s="137"/>
      <c r="Q20" s="15"/>
      <c r="R20" s="12"/>
      <c r="S20" s="12"/>
      <c r="T20" s="12"/>
      <c r="U20" s="14"/>
      <c r="V20" s="15"/>
      <c r="W20" s="12"/>
      <c r="X20" s="12"/>
      <c r="Y20" s="12"/>
      <c r="Z20" s="12"/>
      <c r="AA20" s="12"/>
      <c r="AB20" s="14"/>
      <c r="AC20" s="15"/>
      <c r="AD20" s="12"/>
      <c r="AE20" s="12"/>
      <c r="AF20" s="14"/>
      <c r="AG20" s="18"/>
      <c r="AH20" s="18"/>
      <c r="AI20" s="17"/>
      <c r="AJ20" s="181"/>
      <c r="AK20" s="13"/>
      <c r="AL20" s="181"/>
      <c r="AM20" s="175"/>
      <c r="AN20" s="192"/>
      <c r="AO20" s="13"/>
      <c r="AP20" s="181"/>
      <c r="AQ20" s="175"/>
      <c r="AR20" s="18"/>
      <c r="AS20" s="12"/>
      <c r="AT20" s="12"/>
      <c r="AU20" s="12"/>
      <c r="AV20" s="12"/>
      <c r="AW20" s="137"/>
      <c r="AX20" s="13"/>
      <c r="AY20" s="138"/>
      <c r="AZ20" s="140"/>
      <c r="BA20" s="18"/>
      <c r="BB20" s="18" t="e">
        <f>IF(#REF!&lt;&gt;0,IF(LL[[#This Row],[Date of Birth]]&lt;&gt;0,YEAR(#REF!-LL[[#This Row],[Date of Birth]])-1900,""),"")</f>
        <v>#REF!</v>
      </c>
      <c r="BC20" s="2" t="str">
        <f>IF(LL[[#This Row],[Sx Onset Date]]&gt;0,LL[[#This Row],[Sx Onset Date]],"")</f>
        <v/>
      </c>
      <c r="BD20" s="2" t="str">
        <f>IF(LL[[#This Row],[Lab-confirmed?]]="Y",LL[[#This Row],[Test Date]],"")</f>
        <v/>
      </c>
      <c r="BE20" s="2" t="str">
        <f>IF(LL[[#This Row],[Lab-confirmed?]]="Y",LL[[#This Row],[Test Date 2]],"")</f>
        <v/>
      </c>
      <c r="BF20" s="139" t="str">
        <f>IF(LL[[#This Row],[Date Reported to Public Health]]&gt;0,LL[[#This Row],[Date Reported to Public Health]],"")</f>
        <v/>
      </c>
      <c r="BG20" s="13" t="str">
        <f t="shared" si="0"/>
        <v/>
      </c>
    </row>
    <row r="21" spans="1:59" x14ac:dyDescent="0.3">
      <c r="A21" s="11">
        <v>17</v>
      </c>
      <c r="B21" s="12"/>
      <c r="C21" s="13"/>
      <c r="D21" s="12"/>
      <c r="E21" s="12"/>
      <c r="F21" s="12"/>
      <c r="G21" s="16"/>
      <c r="H21" s="12"/>
      <c r="I21" s="14"/>
      <c r="J21" s="137"/>
      <c r="K21" s="137"/>
      <c r="L21" s="18"/>
      <c r="M21" s="139"/>
      <c r="N21" s="140"/>
      <c r="O21" s="137"/>
      <c r="P21" s="137"/>
      <c r="Q21" s="15"/>
      <c r="R21" s="12"/>
      <c r="S21" s="12"/>
      <c r="T21" s="12"/>
      <c r="U21" s="14"/>
      <c r="V21" s="15"/>
      <c r="W21" s="12"/>
      <c r="X21" s="12"/>
      <c r="Y21" s="12"/>
      <c r="Z21" s="12"/>
      <c r="AA21" s="12"/>
      <c r="AB21" s="14"/>
      <c r="AC21" s="15"/>
      <c r="AD21" s="12"/>
      <c r="AE21" s="12"/>
      <c r="AF21" s="14"/>
      <c r="AG21" s="18"/>
      <c r="AH21" s="18"/>
      <c r="AI21" s="17"/>
      <c r="AJ21" s="181"/>
      <c r="AK21" s="13"/>
      <c r="AL21" s="181"/>
      <c r="AM21" s="175"/>
      <c r="AN21" s="192"/>
      <c r="AO21" s="13"/>
      <c r="AP21" s="181"/>
      <c r="AQ21" s="175"/>
      <c r="AR21" s="18"/>
      <c r="AS21" s="12"/>
      <c r="AT21" s="12"/>
      <c r="AU21" s="12"/>
      <c r="AV21" s="12"/>
      <c r="AW21" s="137"/>
      <c r="AX21" s="13"/>
      <c r="AY21" s="138"/>
      <c r="AZ21" s="140"/>
      <c r="BA21" s="18"/>
      <c r="BB21" s="18" t="e">
        <f>IF(#REF!&lt;&gt;0,IF(LL[[#This Row],[Date of Birth]]&lt;&gt;0,YEAR(#REF!-LL[[#This Row],[Date of Birth]])-1900,""),"")</f>
        <v>#REF!</v>
      </c>
      <c r="BC21" s="2" t="str">
        <f>IF(LL[[#This Row],[Sx Onset Date]]&gt;0,LL[[#This Row],[Sx Onset Date]],"")</f>
        <v/>
      </c>
      <c r="BD21" s="2" t="str">
        <f>IF(LL[[#This Row],[Lab-confirmed?]]="Y",LL[[#This Row],[Test Date]],"")</f>
        <v/>
      </c>
      <c r="BE21" s="2" t="str">
        <f>IF(LL[[#This Row],[Lab-confirmed?]]="Y",LL[[#This Row],[Test Date 2]],"")</f>
        <v/>
      </c>
      <c r="BF21" s="139" t="str">
        <f>IF(LL[[#This Row],[Date Reported to Public Health]]&gt;0,LL[[#This Row],[Date Reported to Public Health]],"")</f>
        <v/>
      </c>
      <c r="BG21" s="13" t="str">
        <f t="shared" si="0"/>
        <v/>
      </c>
    </row>
    <row r="22" spans="1:59" x14ac:dyDescent="0.3">
      <c r="A22" s="11">
        <v>18</v>
      </c>
      <c r="B22" s="12"/>
      <c r="C22" s="13"/>
      <c r="D22" s="12"/>
      <c r="E22" s="12"/>
      <c r="F22" s="12"/>
      <c r="G22" s="16"/>
      <c r="H22" s="12"/>
      <c r="I22" s="14"/>
      <c r="J22" s="137"/>
      <c r="K22" s="137"/>
      <c r="L22" s="18"/>
      <c r="M22" s="139"/>
      <c r="N22" s="140"/>
      <c r="O22" s="137"/>
      <c r="P22" s="137"/>
      <c r="Q22" s="15"/>
      <c r="R22" s="12"/>
      <c r="S22" s="12"/>
      <c r="T22" s="12"/>
      <c r="U22" s="14"/>
      <c r="V22" s="15"/>
      <c r="W22" s="12"/>
      <c r="X22" s="12"/>
      <c r="Y22" s="12"/>
      <c r="Z22" s="12"/>
      <c r="AA22" s="12"/>
      <c r="AB22" s="14"/>
      <c r="AC22" s="15"/>
      <c r="AD22" s="12"/>
      <c r="AE22" s="12"/>
      <c r="AF22" s="14"/>
      <c r="AG22" s="18"/>
      <c r="AH22" s="18"/>
      <c r="AI22" s="17"/>
      <c r="AJ22" s="181"/>
      <c r="AK22" s="13"/>
      <c r="AL22" s="181"/>
      <c r="AM22" s="175"/>
      <c r="AN22" s="192"/>
      <c r="AO22" s="13"/>
      <c r="AP22" s="181"/>
      <c r="AQ22" s="175"/>
      <c r="AR22" s="18"/>
      <c r="AS22" s="12"/>
      <c r="AT22" s="12"/>
      <c r="AU22" s="12"/>
      <c r="AV22" s="12"/>
      <c r="AW22" s="137"/>
      <c r="AX22" s="13"/>
      <c r="AY22" s="138"/>
      <c r="AZ22" s="140"/>
      <c r="BA22" s="18"/>
      <c r="BB22" s="18" t="e">
        <f>IF(#REF!&lt;&gt;0,IF(LL[[#This Row],[Date of Birth]]&lt;&gt;0,YEAR(#REF!-LL[[#This Row],[Date of Birth]])-1900,""),"")</f>
        <v>#REF!</v>
      </c>
      <c r="BC22" s="2" t="str">
        <f>IF(LL[[#This Row],[Sx Onset Date]]&gt;0,LL[[#This Row],[Sx Onset Date]],"")</f>
        <v/>
      </c>
      <c r="BD22" s="2" t="str">
        <f>IF(LL[[#This Row],[Lab-confirmed?]]="Y",LL[[#This Row],[Test Date]],"")</f>
        <v/>
      </c>
      <c r="BE22" s="2" t="str">
        <f>IF(LL[[#This Row],[Lab-confirmed?]]="Y",LL[[#This Row],[Test Date 2]],"")</f>
        <v/>
      </c>
      <c r="BF22" s="139" t="str">
        <f>IF(LL[[#This Row],[Date Reported to Public Health]]&gt;0,LL[[#This Row],[Date Reported to Public Health]],"")</f>
        <v/>
      </c>
      <c r="BG22" s="13" t="str">
        <f t="shared" si="0"/>
        <v/>
      </c>
    </row>
    <row r="23" spans="1:59" x14ac:dyDescent="0.3">
      <c r="A23" s="11">
        <v>19</v>
      </c>
      <c r="B23" s="12"/>
      <c r="C23" s="13"/>
      <c r="D23" s="12"/>
      <c r="E23" s="12"/>
      <c r="F23" s="12"/>
      <c r="G23" s="16"/>
      <c r="H23" s="12"/>
      <c r="I23" s="14"/>
      <c r="J23" s="137"/>
      <c r="K23" s="137"/>
      <c r="L23" s="18"/>
      <c r="M23" s="139"/>
      <c r="N23" s="140"/>
      <c r="O23" s="137"/>
      <c r="P23" s="137"/>
      <c r="Q23" s="15"/>
      <c r="R23" s="12"/>
      <c r="S23" s="12"/>
      <c r="T23" s="12"/>
      <c r="U23" s="14"/>
      <c r="V23" s="15"/>
      <c r="W23" s="12"/>
      <c r="X23" s="12"/>
      <c r="Y23" s="12"/>
      <c r="Z23" s="12"/>
      <c r="AA23" s="12"/>
      <c r="AB23" s="14"/>
      <c r="AC23" s="15"/>
      <c r="AD23" s="12"/>
      <c r="AE23" s="12"/>
      <c r="AF23" s="14"/>
      <c r="AG23" s="18"/>
      <c r="AH23" s="18"/>
      <c r="AI23" s="17"/>
      <c r="AJ23" s="181"/>
      <c r="AK23" s="13"/>
      <c r="AL23" s="181"/>
      <c r="AM23" s="175"/>
      <c r="AN23" s="192"/>
      <c r="AO23" s="13"/>
      <c r="AP23" s="181"/>
      <c r="AQ23" s="175"/>
      <c r="AR23" s="18"/>
      <c r="AS23" s="12"/>
      <c r="AT23" s="12"/>
      <c r="AU23" s="12"/>
      <c r="AV23" s="12"/>
      <c r="AW23" s="137"/>
      <c r="AX23" s="13"/>
      <c r="AY23" s="138"/>
      <c r="AZ23" s="140"/>
      <c r="BA23" s="18"/>
      <c r="BB23" s="18" t="e">
        <f>IF(#REF!&lt;&gt;0,IF(LL[[#This Row],[Date of Birth]]&lt;&gt;0,YEAR(#REF!-LL[[#This Row],[Date of Birth]])-1900,""),"")</f>
        <v>#REF!</v>
      </c>
      <c r="BC23" s="2" t="str">
        <f>IF(LL[[#This Row],[Sx Onset Date]]&gt;0,LL[[#This Row],[Sx Onset Date]],"")</f>
        <v/>
      </c>
      <c r="BD23" s="2" t="str">
        <f>IF(LL[[#This Row],[Lab-confirmed?]]="Y",LL[[#This Row],[Test Date]],"")</f>
        <v/>
      </c>
      <c r="BE23" s="2" t="str">
        <f>IF(LL[[#This Row],[Lab-confirmed?]]="Y",LL[[#This Row],[Test Date 2]],"")</f>
        <v/>
      </c>
      <c r="BF23" s="139" t="str">
        <f>IF(LL[[#This Row],[Date Reported to Public Health]]&gt;0,LL[[#This Row],[Date Reported to Public Health]],"")</f>
        <v/>
      </c>
      <c r="BG23" s="13" t="str">
        <f t="shared" si="0"/>
        <v/>
      </c>
    </row>
    <row r="24" spans="1:59" x14ac:dyDescent="0.3">
      <c r="A24" s="11">
        <v>20</v>
      </c>
      <c r="B24" s="12"/>
      <c r="C24" s="13"/>
      <c r="D24" s="12"/>
      <c r="E24" s="12"/>
      <c r="F24" s="12"/>
      <c r="G24" s="16"/>
      <c r="H24" s="12"/>
      <c r="I24" s="14"/>
      <c r="J24" s="137"/>
      <c r="K24" s="137"/>
      <c r="L24" s="18"/>
      <c r="M24" s="139"/>
      <c r="N24" s="140"/>
      <c r="O24" s="137"/>
      <c r="P24" s="137"/>
      <c r="Q24" s="15"/>
      <c r="R24" s="12"/>
      <c r="S24" s="12"/>
      <c r="T24" s="12"/>
      <c r="U24" s="14"/>
      <c r="V24" s="15"/>
      <c r="W24" s="12"/>
      <c r="X24" s="12"/>
      <c r="Y24" s="12"/>
      <c r="Z24" s="12"/>
      <c r="AA24" s="12"/>
      <c r="AB24" s="14"/>
      <c r="AC24" s="15"/>
      <c r="AD24" s="12"/>
      <c r="AE24" s="12"/>
      <c r="AF24" s="14"/>
      <c r="AG24" s="18"/>
      <c r="AH24" s="18"/>
      <c r="AI24" s="17"/>
      <c r="AJ24" s="181"/>
      <c r="AK24" s="13"/>
      <c r="AL24" s="181"/>
      <c r="AM24" s="175"/>
      <c r="AN24" s="192"/>
      <c r="AO24" s="13"/>
      <c r="AP24" s="181"/>
      <c r="AQ24" s="175"/>
      <c r="AR24" s="18"/>
      <c r="AS24" s="12"/>
      <c r="AT24" s="12"/>
      <c r="AU24" s="12"/>
      <c r="AV24" s="12"/>
      <c r="AW24" s="137"/>
      <c r="AX24" s="13"/>
      <c r="AY24" s="138"/>
      <c r="AZ24" s="140"/>
      <c r="BA24" s="18"/>
      <c r="BB24" s="18" t="e">
        <f>IF(#REF!&lt;&gt;0,IF(LL[[#This Row],[Date of Birth]]&lt;&gt;0,YEAR(#REF!-LL[[#This Row],[Date of Birth]])-1900,""),"")</f>
        <v>#REF!</v>
      </c>
      <c r="BC24" s="2" t="str">
        <f>IF(LL[[#This Row],[Sx Onset Date]]&gt;0,LL[[#This Row],[Sx Onset Date]],"")</f>
        <v/>
      </c>
      <c r="BD24" s="2" t="str">
        <f>IF(LL[[#This Row],[Lab-confirmed?]]="Y",LL[[#This Row],[Test Date]],"")</f>
        <v/>
      </c>
      <c r="BE24" s="2" t="str">
        <f>IF(LL[[#This Row],[Lab-confirmed?]]="Y",LL[[#This Row],[Test Date 2]],"")</f>
        <v/>
      </c>
      <c r="BF24" s="139" t="str">
        <f>IF(LL[[#This Row],[Date Reported to Public Health]]&gt;0,LL[[#This Row],[Date Reported to Public Health]],"")</f>
        <v/>
      </c>
      <c r="BG24" s="13" t="str">
        <f t="shared" si="0"/>
        <v/>
      </c>
    </row>
    <row r="25" spans="1:59" x14ac:dyDescent="0.3">
      <c r="A25" s="11">
        <v>21</v>
      </c>
      <c r="B25" s="12"/>
      <c r="C25" s="13"/>
      <c r="D25" s="12"/>
      <c r="E25" s="12"/>
      <c r="F25" s="12"/>
      <c r="G25" s="16"/>
      <c r="H25" s="12"/>
      <c r="I25" s="14"/>
      <c r="J25" s="137"/>
      <c r="K25" s="137"/>
      <c r="L25" s="18"/>
      <c r="M25" s="139"/>
      <c r="N25" s="140"/>
      <c r="O25" s="137"/>
      <c r="P25" s="137"/>
      <c r="Q25" s="15"/>
      <c r="R25" s="12"/>
      <c r="S25" s="12"/>
      <c r="T25" s="12"/>
      <c r="U25" s="14"/>
      <c r="V25" s="15"/>
      <c r="W25" s="12"/>
      <c r="X25" s="12"/>
      <c r="Y25" s="12"/>
      <c r="Z25" s="12"/>
      <c r="AA25" s="12"/>
      <c r="AB25" s="14"/>
      <c r="AC25" s="15"/>
      <c r="AD25" s="12"/>
      <c r="AE25" s="12"/>
      <c r="AF25" s="14"/>
      <c r="AG25" s="18"/>
      <c r="AH25" s="18"/>
      <c r="AI25" s="17"/>
      <c r="AJ25" s="181"/>
      <c r="AK25" s="13"/>
      <c r="AL25" s="181"/>
      <c r="AM25" s="175"/>
      <c r="AN25" s="192"/>
      <c r="AO25" s="13"/>
      <c r="AP25" s="181"/>
      <c r="AQ25" s="175"/>
      <c r="AR25" s="18"/>
      <c r="AS25" s="12"/>
      <c r="AT25" s="12"/>
      <c r="AU25" s="12"/>
      <c r="AV25" s="12"/>
      <c r="AW25" s="137"/>
      <c r="AX25" s="13"/>
      <c r="AY25" s="138"/>
      <c r="AZ25" s="140"/>
      <c r="BA25" s="18"/>
      <c r="BB25" s="18" t="e">
        <f>IF(#REF!&lt;&gt;0,IF(LL[[#This Row],[Date of Birth]]&lt;&gt;0,YEAR(#REF!-LL[[#This Row],[Date of Birth]])-1900,""),"")</f>
        <v>#REF!</v>
      </c>
      <c r="BC25" s="2" t="str">
        <f>IF(LL[[#This Row],[Sx Onset Date]]&gt;0,LL[[#This Row],[Sx Onset Date]],"")</f>
        <v/>
      </c>
      <c r="BD25" s="2" t="str">
        <f>IF(LL[[#This Row],[Lab-confirmed?]]="Y",LL[[#This Row],[Test Date]],"")</f>
        <v/>
      </c>
      <c r="BE25" s="2" t="str">
        <f>IF(LL[[#This Row],[Lab-confirmed?]]="Y",LL[[#This Row],[Test Date 2]],"")</f>
        <v/>
      </c>
      <c r="BF25" s="139" t="str">
        <f>IF(LL[[#This Row],[Date Reported to Public Health]]&gt;0,LL[[#This Row],[Date Reported to Public Health]],"")</f>
        <v/>
      </c>
      <c r="BG25" s="13" t="str">
        <f t="shared" si="0"/>
        <v/>
      </c>
    </row>
    <row r="26" spans="1:59" x14ac:dyDescent="0.3">
      <c r="A26" s="11">
        <v>22</v>
      </c>
      <c r="B26" s="12"/>
      <c r="C26" s="13"/>
      <c r="D26" s="12"/>
      <c r="E26" s="12"/>
      <c r="F26" s="12"/>
      <c r="G26" s="16"/>
      <c r="H26" s="12"/>
      <c r="I26" s="14"/>
      <c r="J26" s="137"/>
      <c r="K26" s="137"/>
      <c r="L26" s="18"/>
      <c r="M26" s="139"/>
      <c r="N26" s="140"/>
      <c r="O26" s="137"/>
      <c r="P26" s="137"/>
      <c r="Q26" s="15"/>
      <c r="R26" s="12"/>
      <c r="S26" s="12"/>
      <c r="T26" s="12"/>
      <c r="U26" s="14"/>
      <c r="V26" s="15"/>
      <c r="W26" s="12"/>
      <c r="X26" s="12"/>
      <c r="Y26" s="12"/>
      <c r="Z26" s="12"/>
      <c r="AA26" s="12"/>
      <c r="AB26" s="14"/>
      <c r="AC26" s="15"/>
      <c r="AD26" s="12"/>
      <c r="AE26" s="12"/>
      <c r="AF26" s="14"/>
      <c r="AG26" s="18"/>
      <c r="AH26" s="18"/>
      <c r="AI26" s="17"/>
      <c r="AJ26" s="181"/>
      <c r="AK26" s="13"/>
      <c r="AL26" s="181"/>
      <c r="AM26" s="175"/>
      <c r="AN26" s="192"/>
      <c r="AO26" s="13"/>
      <c r="AP26" s="181"/>
      <c r="AQ26" s="175"/>
      <c r="AR26" s="18"/>
      <c r="AS26" s="12"/>
      <c r="AT26" s="12"/>
      <c r="AU26" s="12"/>
      <c r="AV26" s="12"/>
      <c r="AW26" s="137"/>
      <c r="AX26" s="13"/>
      <c r="AY26" s="138"/>
      <c r="AZ26" s="140"/>
      <c r="BA26" s="18"/>
      <c r="BB26" s="18" t="e">
        <f>IF(#REF!&lt;&gt;0,IF(LL[[#This Row],[Date of Birth]]&lt;&gt;0,YEAR(#REF!-LL[[#This Row],[Date of Birth]])-1900,""),"")</f>
        <v>#REF!</v>
      </c>
      <c r="BC26" s="2" t="str">
        <f>IF(LL[[#This Row],[Sx Onset Date]]&gt;0,LL[[#This Row],[Sx Onset Date]],"")</f>
        <v/>
      </c>
      <c r="BD26" s="2" t="str">
        <f>IF(LL[[#This Row],[Lab-confirmed?]]="Y",LL[[#This Row],[Test Date]],"")</f>
        <v/>
      </c>
      <c r="BE26" s="2" t="str">
        <f>IF(LL[[#This Row],[Lab-confirmed?]]="Y",LL[[#This Row],[Test Date 2]],"")</f>
        <v/>
      </c>
      <c r="BF26" s="139" t="str">
        <f>IF(LL[[#This Row],[Date Reported to Public Health]]&gt;0,LL[[#This Row],[Date Reported to Public Health]],"")</f>
        <v/>
      </c>
      <c r="BG26" s="13" t="str">
        <f t="shared" si="0"/>
        <v/>
      </c>
    </row>
    <row r="27" spans="1:59" x14ac:dyDescent="0.3">
      <c r="A27" s="11">
        <v>23</v>
      </c>
      <c r="B27" s="12"/>
      <c r="C27" s="13"/>
      <c r="D27" s="12"/>
      <c r="E27" s="12"/>
      <c r="F27" s="12"/>
      <c r="G27" s="16"/>
      <c r="H27" s="12"/>
      <c r="I27" s="14"/>
      <c r="J27" s="137"/>
      <c r="K27" s="137"/>
      <c r="L27" s="18"/>
      <c r="M27" s="139"/>
      <c r="N27" s="140"/>
      <c r="O27" s="137"/>
      <c r="P27" s="137"/>
      <c r="Q27" s="15"/>
      <c r="R27" s="12"/>
      <c r="S27" s="12"/>
      <c r="T27" s="12"/>
      <c r="U27" s="14"/>
      <c r="V27" s="15"/>
      <c r="W27" s="12"/>
      <c r="X27" s="12"/>
      <c r="Y27" s="12"/>
      <c r="Z27" s="12"/>
      <c r="AA27" s="12"/>
      <c r="AB27" s="14"/>
      <c r="AC27" s="15"/>
      <c r="AD27" s="12"/>
      <c r="AE27" s="12"/>
      <c r="AF27" s="14"/>
      <c r="AG27" s="18"/>
      <c r="AH27" s="18"/>
      <c r="AI27" s="17"/>
      <c r="AJ27" s="181"/>
      <c r="AK27" s="13"/>
      <c r="AL27" s="181"/>
      <c r="AM27" s="175"/>
      <c r="AN27" s="192"/>
      <c r="AO27" s="13"/>
      <c r="AP27" s="181"/>
      <c r="AQ27" s="175"/>
      <c r="AR27" s="18"/>
      <c r="AS27" s="12"/>
      <c r="AT27" s="12"/>
      <c r="AU27" s="12"/>
      <c r="AV27" s="12"/>
      <c r="AW27" s="137"/>
      <c r="AX27" s="13"/>
      <c r="AY27" s="138"/>
      <c r="AZ27" s="140"/>
      <c r="BA27" s="18"/>
      <c r="BB27" s="18" t="e">
        <f>IF(#REF!&lt;&gt;0,IF(LL[[#This Row],[Date of Birth]]&lt;&gt;0,YEAR(#REF!-LL[[#This Row],[Date of Birth]])-1900,""),"")</f>
        <v>#REF!</v>
      </c>
      <c r="BC27" s="2" t="str">
        <f>IF(LL[[#This Row],[Sx Onset Date]]&gt;0,LL[[#This Row],[Sx Onset Date]],"")</f>
        <v/>
      </c>
      <c r="BD27" s="2" t="str">
        <f>IF(LL[[#This Row],[Lab-confirmed?]]="Y",LL[[#This Row],[Test Date]],"")</f>
        <v/>
      </c>
      <c r="BE27" s="2" t="str">
        <f>IF(LL[[#This Row],[Lab-confirmed?]]="Y",LL[[#This Row],[Test Date 2]],"")</f>
        <v/>
      </c>
      <c r="BF27" s="139" t="str">
        <f>IF(LL[[#This Row],[Date Reported to Public Health]]&gt;0,LL[[#This Row],[Date Reported to Public Health]],"")</f>
        <v/>
      </c>
      <c r="BG27" s="13" t="str">
        <f t="shared" si="0"/>
        <v/>
      </c>
    </row>
    <row r="28" spans="1:59" x14ac:dyDescent="0.3">
      <c r="A28" s="11">
        <v>24</v>
      </c>
      <c r="B28" s="12"/>
      <c r="C28" s="13"/>
      <c r="D28" s="12"/>
      <c r="E28" s="12"/>
      <c r="F28" s="12"/>
      <c r="G28" s="16"/>
      <c r="H28" s="12"/>
      <c r="I28" s="14"/>
      <c r="J28" s="137"/>
      <c r="K28" s="137"/>
      <c r="L28" s="18"/>
      <c r="M28" s="139"/>
      <c r="N28" s="140"/>
      <c r="O28" s="137"/>
      <c r="P28" s="137"/>
      <c r="Q28" s="15"/>
      <c r="R28" s="12"/>
      <c r="S28" s="12"/>
      <c r="T28" s="12"/>
      <c r="U28" s="14"/>
      <c r="V28" s="15"/>
      <c r="W28" s="12"/>
      <c r="X28" s="12"/>
      <c r="Y28" s="12"/>
      <c r="Z28" s="12"/>
      <c r="AA28" s="12"/>
      <c r="AB28" s="14"/>
      <c r="AC28" s="15"/>
      <c r="AD28" s="12"/>
      <c r="AE28" s="12"/>
      <c r="AF28" s="14"/>
      <c r="AG28" s="18"/>
      <c r="AH28" s="18"/>
      <c r="AI28" s="17"/>
      <c r="AJ28" s="181"/>
      <c r="AK28" s="13"/>
      <c r="AL28" s="181"/>
      <c r="AM28" s="175"/>
      <c r="AN28" s="192"/>
      <c r="AO28" s="13"/>
      <c r="AP28" s="181"/>
      <c r="AQ28" s="175"/>
      <c r="AR28" s="18"/>
      <c r="AS28" s="12"/>
      <c r="AT28" s="12"/>
      <c r="AU28" s="12"/>
      <c r="AV28" s="12"/>
      <c r="AW28" s="137"/>
      <c r="AX28" s="13"/>
      <c r="AY28" s="138"/>
      <c r="AZ28" s="140"/>
      <c r="BA28" s="18"/>
      <c r="BB28" s="18" t="e">
        <f>IF(#REF!&lt;&gt;0,IF(LL[[#This Row],[Date of Birth]]&lt;&gt;0,YEAR(#REF!-LL[[#This Row],[Date of Birth]])-1900,""),"")</f>
        <v>#REF!</v>
      </c>
      <c r="BC28" s="2" t="str">
        <f>IF(LL[[#This Row],[Sx Onset Date]]&gt;0,LL[[#This Row],[Sx Onset Date]],"")</f>
        <v/>
      </c>
      <c r="BD28" s="2" t="str">
        <f>IF(LL[[#This Row],[Lab-confirmed?]]="Y",LL[[#This Row],[Test Date]],"")</f>
        <v/>
      </c>
      <c r="BE28" s="2" t="str">
        <f>IF(LL[[#This Row],[Lab-confirmed?]]="Y",LL[[#This Row],[Test Date 2]],"")</f>
        <v/>
      </c>
      <c r="BF28" s="139" t="str">
        <f>IF(LL[[#This Row],[Date Reported to Public Health]]&gt;0,LL[[#This Row],[Date Reported to Public Health]],"")</f>
        <v/>
      </c>
      <c r="BG28" s="13" t="str">
        <f t="shared" si="0"/>
        <v/>
      </c>
    </row>
    <row r="29" spans="1:59" x14ac:dyDescent="0.3">
      <c r="A29" s="11">
        <v>25</v>
      </c>
      <c r="B29" s="12"/>
      <c r="C29" s="13"/>
      <c r="D29" s="12"/>
      <c r="E29" s="12"/>
      <c r="F29" s="12"/>
      <c r="G29" s="16"/>
      <c r="H29" s="12"/>
      <c r="I29" s="14"/>
      <c r="J29" s="137"/>
      <c r="K29" s="137"/>
      <c r="L29" s="18"/>
      <c r="M29" s="139"/>
      <c r="N29" s="140"/>
      <c r="O29" s="137"/>
      <c r="P29" s="137"/>
      <c r="Q29" s="15"/>
      <c r="R29" s="12"/>
      <c r="S29" s="12"/>
      <c r="T29" s="12"/>
      <c r="U29" s="14"/>
      <c r="V29" s="15"/>
      <c r="W29" s="12"/>
      <c r="X29" s="12"/>
      <c r="Y29" s="12"/>
      <c r="Z29" s="12"/>
      <c r="AA29" s="12"/>
      <c r="AB29" s="14"/>
      <c r="AC29" s="15"/>
      <c r="AD29" s="12"/>
      <c r="AE29" s="12"/>
      <c r="AF29" s="14"/>
      <c r="AG29" s="18"/>
      <c r="AH29" s="18"/>
      <c r="AI29" s="17"/>
      <c r="AJ29" s="181"/>
      <c r="AK29" s="13"/>
      <c r="AL29" s="181"/>
      <c r="AM29" s="175"/>
      <c r="AN29" s="192"/>
      <c r="AO29" s="13"/>
      <c r="AP29" s="181"/>
      <c r="AQ29" s="175"/>
      <c r="AR29" s="18"/>
      <c r="AS29" s="12"/>
      <c r="AT29" s="12"/>
      <c r="AU29" s="12"/>
      <c r="AV29" s="12"/>
      <c r="AW29" s="137"/>
      <c r="AX29" s="13"/>
      <c r="AY29" s="138"/>
      <c r="AZ29" s="140"/>
      <c r="BA29" s="18"/>
      <c r="BB29" s="18" t="e">
        <f>IF(#REF!&lt;&gt;0,IF(LL[[#This Row],[Date of Birth]]&lt;&gt;0,YEAR(#REF!-LL[[#This Row],[Date of Birth]])-1900,""),"")</f>
        <v>#REF!</v>
      </c>
      <c r="BC29" s="2" t="str">
        <f>IF(LL[[#This Row],[Sx Onset Date]]&gt;0,LL[[#This Row],[Sx Onset Date]],"")</f>
        <v/>
      </c>
      <c r="BD29" s="2" t="str">
        <f>IF(LL[[#This Row],[Lab-confirmed?]]="Y",LL[[#This Row],[Test Date]],"")</f>
        <v/>
      </c>
      <c r="BE29" s="2" t="str">
        <f>IF(LL[[#This Row],[Lab-confirmed?]]="Y",LL[[#This Row],[Test Date 2]],"")</f>
        <v/>
      </c>
      <c r="BF29" s="139" t="str">
        <f>IF(LL[[#This Row],[Date Reported to Public Health]]&gt;0,LL[[#This Row],[Date Reported to Public Health]],"")</f>
        <v/>
      </c>
      <c r="BG29" s="13" t="str">
        <f t="shared" si="0"/>
        <v/>
      </c>
    </row>
    <row r="30" spans="1:59" x14ac:dyDescent="0.3">
      <c r="A30" s="11">
        <v>26</v>
      </c>
      <c r="B30" s="12"/>
      <c r="C30" s="13"/>
      <c r="D30" s="12"/>
      <c r="E30" s="12"/>
      <c r="F30" s="12"/>
      <c r="G30" s="16"/>
      <c r="H30" s="12"/>
      <c r="I30" s="14"/>
      <c r="J30" s="137"/>
      <c r="K30" s="137"/>
      <c r="L30" s="18"/>
      <c r="M30" s="139"/>
      <c r="N30" s="140"/>
      <c r="O30" s="137"/>
      <c r="P30" s="137"/>
      <c r="Q30" s="15"/>
      <c r="R30" s="12"/>
      <c r="S30" s="12"/>
      <c r="T30" s="12"/>
      <c r="U30" s="14"/>
      <c r="V30" s="15"/>
      <c r="W30" s="12"/>
      <c r="X30" s="12"/>
      <c r="Y30" s="12"/>
      <c r="Z30" s="12"/>
      <c r="AA30" s="12"/>
      <c r="AB30" s="14"/>
      <c r="AC30" s="15"/>
      <c r="AD30" s="12"/>
      <c r="AE30" s="12"/>
      <c r="AF30" s="14"/>
      <c r="AG30" s="18"/>
      <c r="AH30" s="18"/>
      <c r="AI30" s="17"/>
      <c r="AJ30" s="181"/>
      <c r="AK30" s="13"/>
      <c r="AL30" s="181"/>
      <c r="AM30" s="175"/>
      <c r="AN30" s="192"/>
      <c r="AO30" s="13"/>
      <c r="AP30" s="181"/>
      <c r="AQ30" s="175"/>
      <c r="AR30" s="18"/>
      <c r="AS30" s="12"/>
      <c r="AT30" s="12"/>
      <c r="AU30" s="12"/>
      <c r="AV30" s="12"/>
      <c r="AW30" s="137"/>
      <c r="AX30" s="13"/>
      <c r="AY30" s="138"/>
      <c r="AZ30" s="140"/>
      <c r="BA30" s="18"/>
      <c r="BB30" s="18" t="e">
        <f>IF(#REF!&lt;&gt;0,IF(LL[[#This Row],[Date of Birth]]&lt;&gt;0,YEAR(#REF!-LL[[#This Row],[Date of Birth]])-1900,""),"")</f>
        <v>#REF!</v>
      </c>
      <c r="BC30" s="2" t="str">
        <f>IF(LL[[#This Row],[Sx Onset Date]]&gt;0,LL[[#This Row],[Sx Onset Date]],"")</f>
        <v/>
      </c>
      <c r="BD30" s="2" t="str">
        <f>IF(LL[[#This Row],[Lab-confirmed?]]="Y",LL[[#This Row],[Test Date]],"")</f>
        <v/>
      </c>
      <c r="BE30" s="2" t="str">
        <f>IF(LL[[#This Row],[Lab-confirmed?]]="Y",LL[[#This Row],[Test Date 2]],"")</f>
        <v/>
      </c>
      <c r="BF30" s="139" t="str">
        <f>IF(LL[[#This Row],[Date Reported to Public Health]]&gt;0,LL[[#This Row],[Date Reported to Public Health]],"")</f>
        <v/>
      </c>
      <c r="BG30" s="13" t="str">
        <f t="shared" si="0"/>
        <v/>
      </c>
    </row>
    <row r="31" spans="1:59" x14ac:dyDescent="0.3">
      <c r="A31" s="11">
        <v>27</v>
      </c>
      <c r="B31" s="12"/>
      <c r="C31" s="13"/>
      <c r="D31" s="12"/>
      <c r="E31" s="12"/>
      <c r="F31" s="12"/>
      <c r="G31" s="16"/>
      <c r="H31" s="12"/>
      <c r="I31" s="14"/>
      <c r="J31" s="137"/>
      <c r="K31" s="137"/>
      <c r="L31" s="18"/>
      <c r="M31" s="139"/>
      <c r="N31" s="140"/>
      <c r="O31" s="137"/>
      <c r="P31" s="137"/>
      <c r="Q31" s="15"/>
      <c r="R31" s="12"/>
      <c r="S31" s="12"/>
      <c r="T31" s="12"/>
      <c r="U31" s="14"/>
      <c r="V31" s="15"/>
      <c r="W31" s="12"/>
      <c r="X31" s="12"/>
      <c r="Y31" s="12"/>
      <c r="Z31" s="12"/>
      <c r="AA31" s="12"/>
      <c r="AB31" s="14"/>
      <c r="AC31" s="15"/>
      <c r="AD31" s="12"/>
      <c r="AE31" s="12"/>
      <c r="AF31" s="14"/>
      <c r="AG31" s="18"/>
      <c r="AH31" s="18"/>
      <c r="AI31" s="17"/>
      <c r="AJ31" s="181"/>
      <c r="AK31" s="13"/>
      <c r="AL31" s="181"/>
      <c r="AM31" s="175"/>
      <c r="AN31" s="192"/>
      <c r="AO31" s="13"/>
      <c r="AP31" s="181"/>
      <c r="AQ31" s="175"/>
      <c r="AR31" s="18"/>
      <c r="AS31" s="12"/>
      <c r="AT31" s="12"/>
      <c r="AU31" s="12"/>
      <c r="AV31" s="12"/>
      <c r="AW31" s="137"/>
      <c r="AX31" s="13"/>
      <c r="AY31" s="138"/>
      <c r="AZ31" s="140"/>
      <c r="BA31" s="18"/>
      <c r="BB31" s="18" t="e">
        <f>IF(#REF!&lt;&gt;0,IF(LL[[#This Row],[Date of Birth]]&lt;&gt;0,YEAR(#REF!-LL[[#This Row],[Date of Birth]])-1900,""),"")</f>
        <v>#REF!</v>
      </c>
      <c r="BC31" s="2" t="str">
        <f>IF(LL[[#This Row],[Sx Onset Date]]&gt;0,LL[[#This Row],[Sx Onset Date]],"")</f>
        <v/>
      </c>
      <c r="BD31" s="2" t="str">
        <f>IF(LL[[#This Row],[Lab-confirmed?]]="Y",LL[[#This Row],[Test Date]],"")</f>
        <v/>
      </c>
      <c r="BE31" s="2" t="str">
        <f>IF(LL[[#This Row],[Lab-confirmed?]]="Y",LL[[#This Row],[Test Date 2]],"")</f>
        <v/>
      </c>
      <c r="BF31" s="139" t="str">
        <f>IF(LL[[#This Row],[Date Reported to Public Health]]&gt;0,LL[[#This Row],[Date Reported to Public Health]],"")</f>
        <v/>
      </c>
      <c r="BG31" s="13" t="str">
        <f t="shared" si="0"/>
        <v/>
      </c>
    </row>
    <row r="32" spans="1:59" x14ac:dyDescent="0.3">
      <c r="A32" s="11">
        <v>28</v>
      </c>
      <c r="B32" s="12"/>
      <c r="C32" s="13"/>
      <c r="D32" s="12"/>
      <c r="E32" s="12"/>
      <c r="F32" s="12"/>
      <c r="G32" s="16"/>
      <c r="H32" s="12"/>
      <c r="I32" s="14"/>
      <c r="J32" s="137"/>
      <c r="K32" s="137"/>
      <c r="L32" s="18"/>
      <c r="M32" s="139"/>
      <c r="N32" s="140"/>
      <c r="O32" s="137"/>
      <c r="P32" s="137"/>
      <c r="Q32" s="15"/>
      <c r="R32" s="12"/>
      <c r="S32" s="12"/>
      <c r="T32" s="12"/>
      <c r="U32" s="14"/>
      <c r="V32" s="15"/>
      <c r="W32" s="12"/>
      <c r="X32" s="12"/>
      <c r="Y32" s="12"/>
      <c r="Z32" s="12"/>
      <c r="AA32" s="12"/>
      <c r="AB32" s="14"/>
      <c r="AC32" s="15"/>
      <c r="AD32" s="12"/>
      <c r="AE32" s="12"/>
      <c r="AF32" s="14"/>
      <c r="AG32" s="18"/>
      <c r="AH32" s="18"/>
      <c r="AI32" s="17"/>
      <c r="AJ32" s="181"/>
      <c r="AK32" s="13"/>
      <c r="AL32" s="181"/>
      <c r="AM32" s="175"/>
      <c r="AN32" s="192"/>
      <c r="AO32" s="13"/>
      <c r="AP32" s="181"/>
      <c r="AQ32" s="175"/>
      <c r="AR32" s="18"/>
      <c r="AS32" s="12"/>
      <c r="AT32" s="12"/>
      <c r="AU32" s="12"/>
      <c r="AV32" s="12"/>
      <c r="AW32" s="137"/>
      <c r="AX32" s="13"/>
      <c r="AY32" s="138"/>
      <c r="AZ32" s="140"/>
      <c r="BA32" s="18"/>
      <c r="BB32" s="18" t="e">
        <f>IF(#REF!&lt;&gt;0,IF(LL[[#This Row],[Date of Birth]]&lt;&gt;0,YEAR(#REF!-LL[[#This Row],[Date of Birth]])-1900,""),"")</f>
        <v>#REF!</v>
      </c>
      <c r="BC32" s="2" t="str">
        <f>IF(LL[[#This Row],[Sx Onset Date]]&gt;0,LL[[#This Row],[Sx Onset Date]],"")</f>
        <v/>
      </c>
      <c r="BD32" s="2" t="str">
        <f>IF(LL[[#This Row],[Lab-confirmed?]]="Y",LL[[#This Row],[Test Date]],"")</f>
        <v/>
      </c>
      <c r="BE32" s="2" t="str">
        <f>IF(LL[[#This Row],[Lab-confirmed?]]="Y",LL[[#This Row],[Test Date 2]],"")</f>
        <v/>
      </c>
      <c r="BF32" s="139" t="str">
        <f>IF(LL[[#This Row],[Date Reported to Public Health]]&gt;0,LL[[#This Row],[Date Reported to Public Health]],"")</f>
        <v/>
      </c>
      <c r="BG32" s="13" t="str">
        <f t="shared" si="0"/>
        <v/>
      </c>
    </row>
    <row r="33" spans="1:59" x14ac:dyDescent="0.3">
      <c r="A33" s="11">
        <v>29</v>
      </c>
      <c r="B33" s="12"/>
      <c r="C33" s="13"/>
      <c r="D33" s="12"/>
      <c r="E33" s="12"/>
      <c r="F33" s="12"/>
      <c r="G33" s="16"/>
      <c r="H33" s="12"/>
      <c r="I33" s="14"/>
      <c r="J33" s="137"/>
      <c r="K33" s="137"/>
      <c r="L33" s="18"/>
      <c r="M33" s="139"/>
      <c r="N33" s="140"/>
      <c r="O33" s="137"/>
      <c r="P33" s="137"/>
      <c r="Q33" s="15"/>
      <c r="R33" s="12"/>
      <c r="S33" s="12"/>
      <c r="T33" s="12"/>
      <c r="U33" s="14"/>
      <c r="V33" s="15"/>
      <c r="W33" s="12"/>
      <c r="X33" s="12"/>
      <c r="Y33" s="12"/>
      <c r="Z33" s="12"/>
      <c r="AA33" s="12"/>
      <c r="AB33" s="14"/>
      <c r="AC33" s="15"/>
      <c r="AD33" s="12"/>
      <c r="AE33" s="12"/>
      <c r="AF33" s="14"/>
      <c r="AG33" s="18"/>
      <c r="AH33" s="18"/>
      <c r="AI33" s="17"/>
      <c r="AJ33" s="181"/>
      <c r="AK33" s="13"/>
      <c r="AL33" s="181"/>
      <c r="AM33" s="175"/>
      <c r="AN33" s="192"/>
      <c r="AO33" s="13"/>
      <c r="AP33" s="181"/>
      <c r="AQ33" s="175"/>
      <c r="AR33" s="18"/>
      <c r="AS33" s="12"/>
      <c r="AT33" s="12"/>
      <c r="AU33" s="12"/>
      <c r="AV33" s="12"/>
      <c r="AW33" s="137"/>
      <c r="AX33" s="13"/>
      <c r="AY33" s="138"/>
      <c r="AZ33" s="140"/>
      <c r="BA33" s="18"/>
      <c r="BB33" s="18" t="e">
        <f>IF(#REF!&lt;&gt;0,IF(LL[[#This Row],[Date of Birth]]&lt;&gt;0,YEAR(#REF!-LL[[#This Row],[Date of Birth]])-1900,""),"")</f>
        <v>#REF!</v>
      </c>
      <c r="BC33" s="2" t="str">
        <f>IF(LL[[#This Row],[Sx Onset Date]]&gt;0,LL[[#This Row],[Sx Onset Date]],"")</f>
        <v/>
      </c>
      <c r="BD33" s="2" t="str">
        <f>IF(LL[[#This Row],[Lab-confirmed?]]="Y",LL[[#This Row],[Test Date]],"")</f>
        <v/>
      </c>
      <c r="BE33" s="2" t="str">
        <f>IF(LL[[#This Row],[Lab-confirmed?]]="Y",LL[[#This Row],[Test Date 2]],"")</f>
        <v/>
      </c>
      <c r="BF33" s="139" t="str">
        <f>IF(LL[[#This Row],[Date Reported to Public Health]]&gt;0,LL[[#This Row],[Date Reported to Public Health]],"")</f>
        <v/>
      </c>
      <c r="BG33" s="13" t="str">
        <f t="shared" si="0"/>
        <v/>
      </c>
    </row>
    <row r="34" spans="1:59" x14ac:dyDescent="0.3">
      <c r="A34" s="11">
        <v>30</v>
      </c>
      <c r="B34" s="12"/>
      <c r="C34" s="13"/>
      <c r="D34" s="12"/>
      <c r="E34" s="12"/>
      <c r="F34" s="12"/>
      <c r="G34" s="16"/>
      <c r="H34" s="12"/>
      <c r="I34" s="14"/>
      <c r="J34" s="137"/>
      <c r="K34" s="137"/>
      <c r="L34" s="18"/>
      <c r="M34" s="139"/>
      <c r="N34" s="140"/>
      <c r="O34" s="137"/>
      <c r="P34" s="137"/>
      <c r="Q34" s="15"/>
      <c r="R34" s="12"/>
      <c r="S34" s="12"/>
      <c r="T34" s="12"/>
      <c r="U34" s="14"/>
      <c r="V34" s="15"/>
      <c r="W34" s="12"/>
      <c r="X34" s="12"/>
      <c r="Y34" s="12"/>
      <c r="Z34" s="12"/>
      <c r="AA34" s="12"/>
      <c r="AB34" s="14"/>
      <c r="AC34" s="15"/>
      <c r="AD34" s="12"/>
      <c r="AE34" s="12"/>
      <c r="AF34" s="14"/>
      <c r="AG34" s="18"/>
      <c r="AH34" s="18"/>
      <c r="AI34" s="17"/>
      <c r="AJ34" s="181"/>
      <c r="AK34" s="13"/>
      <c r="AL34" s="181"/>
      <c r="AM34" s="175"/>
      <c r="AN34" s="192"/>
      <c r="AO34" s="13"/>
      <c r="AP34" s="181"/>
      <c r="AQ34" s="175"/>
      <c r="AR34" s="18"/>
      <c r="AS34" s="12"/>
      <c r="AT34" s="12"/>
      <c r="AU34" s="12"/>
      <c r="AV34" s="12"/>
      <c r="AW34" s="137"/>
      <c r="AX34" s="13"/>
      <c r="AY34" s="138"/>
      <c r="AZ34" s="140"/>
      <c r="BA34" s="18"/>
      <c r="BB34" s="18" t="e">
        <f>IF(#REF!&lt;&gt;0,IF(LL[[#This Row],[Date of Birth]]&lt;&gt;0,YEAR(#REF!-LL[[#This Row],[Date of Birth]])-1900,""),"")</f>
        <v>#REF!</v>
      </c>
      <c r="BC34" s="2" t="str">
        <f>IF(LL[[#This Row],[Sx Onset Date]]&gt;0,LL[[#This Row],[Sx Onset Date]],"")</f>
        <v/>
      </c>
      <c r="BD34" s="2" t="str">
        <f>IF(LL[[#This Row],[Lab-confirmed?]]="Y",LL[[#This Row],[Test Date]],"")</f>
        <v/>
      </c>
      <c r="BE34" s="2" t="str">
        <f>IF(LL[[#This Row],[Lab-confirmed?]]="Y",LL[[#This Row],[Test Date 2]],"")</f>
        <v/>
      </c>
      <c r="BF34" s="139" t="str">
        <f>IF(LL[[#This Row],[Date Reported to Public Health]]&gt;0,LL[[#This Row],[Date Reported to Public Health]],"")</f>
        <v/>
      </c>
      <c r="BG34" s="13" t="str">
        <f t="shared" si="0"/>
        <v/>
      </c>
    </row>
    <row r="35" spans="1:59" x14ac:dyDescent="0.3">
      <c r="A35" s="11">
        <v>31</v>
      </c>
      <c r="B35" s="12"/>
      <c r="C35" s="13"/>
      <c r="D35" s="12"/>
      <c r="E35" s="12"/>
      <c r="F35" s="12"/>
      <c r="G35" s="16"/>
      <c r="H35" s="12"/>
      <c r="I35" s="14"/>
      <c r="J35" s="137"/>
      <c r="K35" s="137"/>
      <c r="L35" s="18"/>
      <c r="M35" s="139"/>
      <c r="N35" s="140"/>
      <c r="O35" s="137"/>
      <c r="P35" s="137"/>
      <c r="Q35" s="15"/>
      <c r="R35" s="12"/>
      <c r="S35" s="12"/>
      <c r="T35" s="12"/>
      <c r="U35" s="14"/>
      <c r="V35" s="15"/>
      <c r="W35" s="12"/>
      <c r="X35" s="12"/>
      <c r="Y35" s="12"/>
      <c r="Z35" s="12"/>
      <c r="AA35" s="12"/>
      <c r="AB35" s="14"/>
      <c r="AC35" s="15"/>
      <c r="AD35" s="12"/>
      <c r="AE35" s="12"/>
      <c r="AF35" s="14"/>
      <c r="AG35" s="18"/>
      <c r="AH35" s="18"/>
      <c r="AI35" s="17"/>
      <c r="AJ35" s="181"/>
      <c r="AK35" s="13"/>
      <c r="AL35" s="181"/>
      <c r="AM35" s="175"/>
      <c r="AN35" s="192"/>
      <c r="AO35" s="13"/>
      <c r="AP35" s="181"/>
      <c r="AQ35" s="175"/>
      <c r="AR35" s="18"/>
      <c r="AS35" s="12"/>
      <c r="AT35" s="12"/>
      <c r="AU35" s="12"/>
      <c r="AV35" s="12"/>
      <c r="AW35" s="137"/>
      <c r="AX35" s="13"/>
      <c r="AY35" s="138"/>
      <c r="AZ35" s="140"/>
      <c r="BA35" s="18"/>
      <c r="BB35" s="18" t="e">
        <f>IF(#REF!&lt;&gt;0,IF(LL[[#This Row],[Date of Birth]]&lt;&gt;0,YEAR(#REF!-LL[[#This Row],[Date of Birth]])-1900,""),"")</f>
        <v>#REF!</v>
      </c>
      <c r="BC35" s="2" t="str">
        <f>IF(LL[[#This Row],[Sx Onset Date]]&gt;0,LL[[#This Row],[Sx Onset Date]],"")</f>
        <v/>
      </c>
      <c r="BD35" s="2" t="str">
        <f>IF(LL[[#This Row],[Lab-confirmed?]]="Y",LL[[#This Row],[Test Date]],"")</f>
        <v/>
      </c>
      <c r="BE35" s="2" t="str">
        <f>IF(LL[[#This Row],[Lab-confirmed?]]="Y",LL[[#This Row],[Test Date 2]],"")</f>
        <v/>
      </c>
      <c r="BF35" s="139" t="str">
        <f>IF(LL[[#This Row],[Date Reported to Public Health]]&gt;0,LL[[#This Row],[Date Reported to Public Health]],"")</f>
        <v/>
      </c>
      <c r="BG35" s="13" t="str">
        <f t="shared" si="0"/>
        <v/>
      </c>
    </row>
    <row r="36" spans="1:59" x14ac:dyDescent="0.3">
      <c r="A36" s="11">
        <v>32</v>
      </c>
      <c r="B36" s="12"/>
      <c r="C36" s="13"/>
      <c r="D36" s="12"/>
      <c r="E36" s="12"/>
      <c r="F36" s="12"/>
      <c r="G36" s="16"/>
      <c r="H36" s="12"/>
      <c r="I36" s="14"/>
      <c r="J36" s="137"/>
      <c r="K36" s="137"/>
      <c r="L36" s="18"/>
      <c r="M36" s="139"/>
      <c r="N36" s="140"/>
      <c r="O36" s="137"/>
      <c r="P36" s="137"/>
      <c r="Q36" s="15"/>
      <c r="R36" s="12"/>
      <c r="S36" s="12"/>
      <c r="T36" s="12"/>
      <c r="U36" s="14"/>
      <c r="V36" s="15"/>
      <c r="W36" s="12"/>
      <c r="X36" s="12"/>
      <c r="Y36" s="12"/>
      <c r="Z36" s="12"/>
      <c r="AA36" s="12"/>
      <c r="AB36" s="14"/>
      <c r="AC36" s="15"/>
      <c r="AD36" s="12"/>
      <c r="AE36" s="12"/>
      <c r="AF36" s="14"/>
      <c r="AG36" s="18"/>
      <c r="AH36" s="18"/>
      <c r="AI36" s="17"/>
      <c r="AJ36" s="181"/>
      <c r="AK36" s="13"/>
      <c r="AL36" s="181"/>
      <c r="AM36" s="175"/>
      <c r="AN36" s="192"/>
      <c r="AO36" s="13"/>
      <c r="AP36" s="181"/>
      <c r="AQ36" s="175"/>
      <c r="AR36" s="18"/>
      <c r="AS36" s="12"/>
      <c r="AT36" s="12"/>
      <c r="AU36" s="12"/>
      <c r="AV36" s="12"/>
      <c r="AW36" s="137"/>
      <c r="AX36" s="13"/>
      <c r="AY36" s="138"/>
      <c r="AZ36" s="140"/>
      <c r="BA36" s="18"/>
      <c r="BB36" s="18" t="e">
        <f>IF(#REF!&lt;&gt;0,IF(LL[[#This Row],[Date of Birth]]&lt;&gt;0,YEAR(#REF!-LL[[#This Row],[Date of Birth]])-1900,""),"")</f>
        <v>#REF!</v>
      </c>
      <c r="BC36" s="2" t="str">
        <f>IF(LL[[#This Row],[Sx Onset Date]]&gt;0,LL[[#This Row],[Sx Onset Date]],"")</f>
        <v/>
      </c>
      <c r="BD36" s="2" t="str">
        <f>IF(LL[[#This Row],[Lab-confirmed?]]="Y",LL[[#This Row],[Test Date]],"")</f>
        <v/>
      </c>
      <c r="BE36" s="2" t="str">
        <f>IF(LL[[#This Row],[Lab-confirmed?]]="Y",LL[[#This Row],[Test Date 2]],"")</f>
        <v/>
      </c>
      <c r="BF36" s="139" t="str">
        <f>IF(LL[[#This Row],[Date Reported to Public Health]]&gt;0,LL[[#This Row],[Date Reported to Public Health]],"")</f>
        <v/>
      </c>
      <c r="BG36" s="13" t="str">
        <f t="shared" si="0"/>
        <v/>
      </c>
    </row>
    <row r="37" spans="1:59" x14ac:dyDescent="0.3">
      <c r="A37" s="11">
        <v>33</v>
      </c>
      <c r="B37" s="12"/>
      <c r="C37" s="13"/>
      <c r="D37" s="12"/>
      <c r="E37" s="12"/>
      <c r="F37" s="12"/>
      <c r="G37" s="16"/>
      <c r="H37" s="12"/>
      <c r="I37" s="14"/>
      <c r="J37" s="137"/>
      <c r="K37" s="137"/>
      <c r="L37" s="18"/>
      <c r="M37" s="139"/>
      <c r="N37" s="140"/>
      <c r="O37" s="137"/>
      <c r="P37" s="137"/>
      <c r="Q37" s="15"/>
      <c r="R37" s="12"/>
      <c r="S37" s="12"/>
      <c r="T37" s="12"/>
      <c r="U37" s="14"/>
      <c r="V37" s="15"/>
      <c r="W37" s="12"/>
      <c r="X37" s="12"/>
      <c r="Y37" s="12"/>
      <c r="Z37" s="12"/>
      <c r="AA37" s="12"/>
      <c r="AB37" s="14"/>
      <c r="AC37" s="15"/>
      <c r="AD37" s="12"/>
      <c r="AE37" s="12"/>
      <c r="AF37" s="14"/>
      <c r="AG37" s="18"/>
      <c r="AH37" s="18"/>
      <c r="AI37" s="17"/>
      <c r="AJ37" s="181"/>
      <c r="AK37" s="13"/>
      <c r="AL37" s="181"/>
      <c r="AM37" s="175"/>
      <c r="AN37" s="192"/>
      <c r="AO37" s="13"/>
      <c r="AP37" s="181"/>
      <c r="AQ37" s="175"/>
      <c r="AR37" s="18"/>
      <c r="AS37" s="12"/>
      <c r="AT37" s="12"/>
      <c r="AU37" s="12"/>
      <c r="AV37" s="12"/>
      <c r="AW37" s="137"/>
      <c r="AX37" s="13"/>
      <c r="AY37" s="138"/>
      <c r="AZ37" s="140"/>
      <c r="BA37" s="18"/>
      <c r="BB37" s="18" t="e">
        <f>IF(#REF!&lt;&gt;0,IF(LL[[#This Row],[Date of Birth]]&lt;&gt;0,YEAR(#REF!-LL[[#This Row],[Date of Birth]])-1900,""),"")</f>
        <v>#REF!</v>
      </c>
      <c r="BC37" s="2" t="str">
        <f>IF(LL[[#This Row],[Sx Onset Date]]&gt;0,LL[[#This Row],[Sx Onset Date]],"")</f>
        <v/>
      </c>
      <c r="BD37" s="2" t="str">
        <f>IF(LL[[#This Row],[Lab-confirmed?]]="Y",LL[[#This Row],[Test Date]],"")</f>
        <v/>
      </c>
      <c r="BE37" s="2" t="str">
        <f>IF(LL[[#This Row],[Lab-confirmed?]]="Y",LL[[#This Row],[Test Date 2]],"")</f>
        <v/>
      </c>
      <c r="BF37" s="139" t="str">
        <f>IF(LL[[#This Row],[Date Reported to Public Health]]&gt;0,LL[[#This Row],[Date Reported to Public Health]],"")</f>
        <v/>
      </c>
      <c r="BG37" s="13" t="str">
        <f t="shared" si="0"/>
        <v/>
      </c>
    </row>
    <row r="38" spans="1:59" x14ac:dyDescent="0.3">
      <c r="A38" s="11">
        <v>34</v>
      </c>
      <c r="B38" s="12"/>
      <c r="C38" s="13"/>
      <c r="D38" s="12"/>
      <c r="E38" s="12"/>
      <c r="F38" s="12"/>
      <c r="G38" s="16"/>
      <c r="H38" s="12"/>
      <c r="I38" s="14"/>
      <c r="J38" s="137"/>
      <c r="K38" s="137"/>
      <c r="L38" s="18"/>
      <c r="M38" s="139"/>
      <c r="N38" s="140"/>
      <c r="O38" s="137"/>
      <c r="P38" s="137"/>
      <c r="Q38" s="15"/>
      <c r="R38" s="12"/>
      <c r="S38" s="12"/>
      <c r="T38" s="12"/>
      <c r="U38" s="14"/>
      <c r="V38" s="15"/>
      <c r="W38" s="12"/>
      <c r="X38" s="12"/>
      <c r="Y38" s="12"/>
      <c r="Z38" s="12"/>
      <c r="AA38" s="12"/>
      <c r="AB38" s="14"/>
      <c r="AC38" s="15"/>
      <c r="AD38" s="12"/>
      <c r="AE38" s="12"/>
      <c r="AF38" s="14"/>
      <c r="AG38" s="18"/>
      <c r="AH38" s="18"/>
      <c r="AI38" s="17"/>
      <c r="AJ38" s="181"/>
      <c r="AK38" s="13"/>
      <c r="AL38" s="181"/>
      <c r="AM38" s="175"/>
      <c r="AN38" s="192"/>
      <c r="AO38" s="13"/>
      <c r="AP38" s="181"/>
      <c r="AQ38" s="175"/>
      <c r="AR38" s="18"/>
      <c r="AS38" s="12"/>
      <c r="AT38" s="12"/>
      <c r="AU38" s="12"/>
      <c r="AV38" s="12"/>
      <c r="AW38" s="137"/>
      <c r="AX38" s="13"/>
      <c r="AY38" s="138"/>
      <c r="AZ38" s="140"/>
      <c r="BA38" s="18"/>
      <c r="BB38" s="18" t="e">
        <f>IF(#REF!&lt;&gt;0,IF(LL[[#This Row],[Date of Birth]]&lt;&gt;0,YEAR(#REF!-LL[[#This Row],[Date of Birth]])-1900,""),"")</f>
        <v>#REF!</v>
      </c>
      <c r="BC38" s="2" t="str">
        <f>IF(LL[[#This Row],[Sx Onset Date]]&gt;0,LL[[#This Row],[Sx Onset Date]],"")</f>
        <v/>
      </c>
      <c r="BD38" s="2" t="str">
        <f>IF(LL[[#This Row],[Lab-confirmed?]]="Y",LL[[#This Row],[Test Date]],"")</f>
        <v/>
      </c>
      <c r="BE38" s="2" t="str">
        <f>IF(LL[[#This Row],[Lab-confirmed?]]="Y",LL[[#This Row],[Test Date 2]],"")</f>
        <v/>
      </c>
      <c r="BF38" s="139" t="str">
        <f>IF(LL[[#This Row],[Date Reported to Public Health]]&gt;0,LL[[#This Row],[Date Reported to Public Health]],"")</f>
        <v/>
      </c>
      <c r="BG38" s="13" t="str">
        <f t="shared" si="0"/>
        <v/>
      </c>
    </row>
    <row r="39" spans="1:59" x14ac:dyDescent="0.3">
      <c r="A39" s="11">
        <v>35</v>
      </c>
      <c r="B39" s="12"/>
      <c r="C39" s="13"/>
      <c r="D39" s="12"/>
      <c r="E39" s="12"/>
      <c r="F39" s="12"/>
      <c r="G39" s="16"/>
      <c r="H39" s="12"/>
      <c r="I39" s="14"/>
      <c r="J39" s="137"/>
      <c r="K39" s="137"/>
      <c r="L39" s="18"/>
      <c r="M39" s="139"/>
      <c r="N39" s="140"/>
      <c r="O39" s="137"/>
      <c r="P39" s="137"/>
      <c r="Q39" s="15"/>
      <c r="R39" s="12"/>
      <c r="S39" s="12"/>
      <c r="T39" s="12"/>
      <c r="U39" s="14"/>
      <c r="V39" s="15"/>
      <c r="W39" s="12"/>
      <c r="X39" s="12"/>
      <c r="Y39" s="12"/>
      <c r="Z39" s="12"/>
      <c r="AA39" s="12"/>
      <c r="AB39" s="14"/>
      <c r="AC39" s="15"/>
      <c r="AD39" s="12"/>
      <c r="AE39" s="12"/>
      <c r="AF39" s="14"/>
      <c r="AG39" s="18"/>
      <c r="AH39" s="18"/>
      <c r="AI39" s="17"/>
      <c r="AJ39" s="181"/>
      <c r="AK39" s="13"/>
      <c r="AL39" s="181"/>
      <c r="AM39" s="175"/>
      <c r="AN39" s="192"/>
      <c r="AO39" s="13"/>
      <c r="AP39" s="181"/>
      <c r="AQ39" s="175"/>
      <c r="AR39" s="18"/>
      <c r="AS39" s="12"/>
      <c r="AT39" s="12"/>
      <c r="AU39" s="12"/>
      <c r="AV39" s="12"/>
      <c r="AW39" s="137"/>
      <c r="AX39" s="13"/>
      <c r="AY39" s="138"/>
      <c r="AZ39" s="140"/>
      <c r="BA39" s="18"/>
      <c r="BB39" s="18" t="e">
        <f>IF(#REF!&lt;&gt;0,IF(LL[[#This Row],[Date of Birth]]&lt;&gt;0,YEAR(#REF!-LL[[#This Row],[Date of Birth]])-1900,""),"")</f>
        <v>#REF!</v>
      </c>
      <c r="BC39" s="2" t="str">
        <f>IF(LL[[#This Row],[Sx Onset Date]]&gt;0,LL[[#This Row],[Sx Onset Date]],"")</f>
        <v/>
      </c>
      <c r="BD39" s="2" t="str">
        <f>IF(LL[[#This Row],[Lab-confirmed?]]="Y",LL[[#This Row],[Test Date]],"")</f>
        <v/>
      </c>
      <c r="BE39" s="2" t="str">
        <f>IF(LL[[#This Row],[Lab-confirmed?]]="Y",LL[[#This Row],[Test Date 2]],"")</f>
        <v/>
      </c>
      <c r="BF39" s="139" t="str">
        <f>IF(LL[[#This Row],[Date Reported to Public Health]]&gt;0,LL[[#This Row],[Date Reported to Public Health]],"")</f>
        <v/>
      </c>
      <c r="BG39" s="13" t="str">
        <f t="shared" si="0"/>
        <v/>
      </c>
    </row>
    <row r="40" spans="1:59" x14ac:dyDescent="0.3">
      <c r="A40" s="11">
        <v>36</v>
      </c>
      <c r="B40" s="12"/>
      <c r="C40" s="13"/>
      <c r="D40" s="12"/>
      <c r="E40" s="12"/>
      <c r="F40" s="12"/>
      <c r="G40" s="16"/>
      <c r="H40" s="12"/>
      <c r="I40" s="14"/>
      <c r="J40" s="137"/>
      <c r="K40" s="137"/>
      <c r="L40" s="18"/>
      <c r="M40" s="139"/>
      <c r="N40" s="140"/>
      <c r="O40" s="137"/>
      <c r="P40" s="137"/>
      <c r="Q40" s="15"/>
      <c r="R40" s="12"/>
      <c r="S40" s="12"/>
      <c r="T40" s="12"/>
      <c r="U40" s="14"/>
      <c r="V40" s="15"/>
      <c r="W40" s="12"/>
      <c r="X40" s="12"/>
      <c r="Y40" s="12"/>
      <c r="Z40" s="12"/>
      <c r="AA40" s="12"/>
      <c r="AB40" s="14"/>
      <c r="AC40" s="15"/>
      <c r="AD40" s="12"/>
      <c r="AE40" s="12"/>
      <c r="AF40" s="14"/>
      <c r="AG40" s="18"/>
      <c r="AH40" s="18"/>
      <c r="AI40" s="17"/>
      <c r="AJ40" s="181"/>
      <c r="AK40" s="13"/>
      <c r="AL40" s="181"/>
      <c r="AM40" s="175"/>
      <c r="AN40" s="192"/>
      <c r="AO40" s="13"/>
      <c r="AP40" s="181"/>
      <c r="AQ40" s="175"/>
      <c r="AR40" s="18"/>
      <c r="AS40" s="12"/>
      <c r="AT40" s="12"/>
      <c r="AU40" s="12"/>
      <c r="AV40" s="12"/>
      <c r="AW40" s="137"/>
      <c r="AX40" s="13"/>
      <c r="AY40" s="138"/>
      <c r="AZ40" s="140"/>
      <c r="BA40" s="18"/>
      <c r="BB40" s="18" t="e">
        <f>IF(#REF!&lt;&gt;0,IF(LL[[#This Row],[Date of Birth]]&lt;&gt;0,YEAR(#REF!-LL[[#This Row],[Date of Birth]])-1900,""),"")</f>
        <v>#REF!</v>
      </c>
      <c r="BC40" s="2" t="str">
        <f>IF(LL[[#This Row],[Sx Onset Date]]&gt;0,LL[[#This Row],[Sx Onset Date]],"")</f>
        <v/>
      </c>
      <c r="BD40" s="2" t="str">
        <f>IF(LL[[#This Row],[Lab-confirmed?]]="Y",LL[[#This Row],[Test Date]],"")</f>
        <v/>
      </c>
      <c r="BE40" s="2" t="str">
        <f>IF(LL[[#This Row],[Lab-confirmed?]]="Y",LL[[#This Row],[Test Date 2]],"")</f>
        <v/>
      </c>
      <c r="BF40" s="139" t="str">
        <f>IF(LL[[#This Row],[Date Reported to Public Health]]&gt;0,LL[[#This Row],[Date Reported to Public Health]],"")</f>
        <v/>
      </c>
      <c r="BG40" s="13" t="str">
        <f t="shared" si="0"/>
        <v/>
      </c>
    </row>
    <row r="41" spans="1:59" x14ac:dyDescent="0.3">
      <c r="A41" s="11">
        <v>37</v>
      </c>
      <c r="B41" s="12"/>
      <c r="C41" s="13"/>
      <c r="D41" s="12"/>
      <c r="E41" s="12"/>
      <c r="F41" s="12"/>
      <c r="G41" s="16"/>
      <c r="H41" s="12"/>
      <c r="I41" s="14"/>
      <c r="J41" s="137"/>
      <c r="K41" s="137"/>
      <c r="L41" s="18"/>
      <c r="M41" s="139"/>
      <c r="N41" s="140"/>
      <c r="O41" s="137"/>
      <c r="P41" s="137"/>
      <c r="Q41" s="15"/>
      <c r="R41" s="12"/>
      <c r="S41" s="12"/>
      <c r="T41" s="12"/>
      <c r="U41" s="14"/>
      <c r="V41" s="15"/>
      <c r="W41" s="12"/>
      <c r="X41" s="12"/>
      <c r="Y41" s="12"/>
      <c r="Z41" s="12"/>
      <c r="AA41" s="12"/>
      <c r="AB41" s="14"/>
      <c r="AC41" s="15"/>
      <c r="AD41" s="12"/>
      <c r="AE41" s="12"/>
      <c r="AF41" s="14"/>
      <c r="AG41" s="18"/>
      <c r="AH41" s="18"/>
      <c r="AI41" s="17"/>
      <c r="AJ41" s="181"/>
      <c r="AK41" s="13"/>
      <c r="AL41" s="181"/>
      <c r="AM41" s="175"/>
      <c r="AN41" s="192"/>
      <c r="AO41" s="13"/>
      <c r="AP41" s="181"/>
      <c r="AQ41" s="175"/>
      <c r="AR41" s="18"/>
      <c r="AS41" s="12"/>
      <c r="AT41" s="12"/>
      <c r="AU41" s="12"/>
      <c r="AV41" s="12"/>
      <c r="AW41" s="137"/>
      <c r="AX41" s="13"/>
      <c r="AY41" s="138"/>
      <c r="AZ41" s="140"/>
      <c r="BA41" s="18"/>
      <c r="BB41" s="18" t="e">
        <f>IF(#REF!&lt;&gt;0,IF(LL[[#This Row],[Date of Birth]]&lt;&gt;0,YEAR(#REF!-LL[[#This Row],[Date of Birth]])-1900,""),"")</f>
        <v>#REF!</v>
      </c>
      <c r="BC41" s="2" t="str">
        <f>IF(LL[[#This Row],[Sx Onset Date]]&gt;0,LL[[#This Row],[Sx Onset Date]],"")</f>
        <v/>
      </c>
      <c r="BD41" s="2" t="str">
        <f>IF(LL[[#This Row],[Lab-confirmed?]]="Y",LL[[#This Row],[Test Date]],"")</f>
        <v/>
      </c>
      <c r="BE41" s="2" t="str">
        <f>IF(LL[[#This Row],[Lab-confirmed?]]="Y",LL[[#This Row],[Test Date 2]],"")</f>
        <v/>
      </c>
      <c r="BF41" s="139" t="str">
        <f>IF(LL[[#This Row],[Date Reported to Public Health]]&gt;0,LL[[#This Row],[Date Reported to Public Health]],"")</f>
        <v/>
      </c>
      <c r="BG41" s="13" t="str">
        <f t="shared" si="0"/>
        <v/>
      </c>
    </row>
    <row r="42" spans="1:59" x14ac:dyDescent="0.3">
      <c r="A42" s="11">
        <v>38</v>
      </c>
      <c r="B42" s="12"/>
      <c r="C42" s="13"/>
      <c r="D42" s="12"/>
      <c r="E42" s="12"/>
      <c r="F42" s="12"/>
      <c r="G42" s="16"/>
      <c r="H42" s="12"/>
      <c r="I42" s="14"/>
      <c r="J42" s="137"/>
      <c r="K42" s="137"/>
      <c r="L42" s="18"/>
      <c r="M42" s="139"/>
      <c r="N42" s="140"/>
      <c r="O42" s="137"/>
      <c r="P42" s="137"/>
      <c r="Q42" s="15"/>
      <c r="R42" s="12"/>
      <c r="S42" s="12"/>
      <c r="T42" s="12"/>
      <c r="U42" s="14"/>
      <c r="V42" s="15"/>
      <c r="W42" s="12"/>
      <c r="X42" s="12"/>
      <c r="Y42" s="12"/>
      <c r="Z42" s="12"/>
      <c r="AA42" s="12"/>
      <c r="AB42" s="14"/>
      <c r="AC42" s="15"/>
      <c r="AD42" s="12"/>
      <c r="AE42" s="12"/>
      <c r="AF42" s="14"/>
      <c r="AG42" s="18"/>
      <c r="AH42" s="18"/>
      <c r="AI42" s="17"/>
      <c r="AJ42" s="181"/>
      <c r="AK42" s="13"/>
      <c r="AL42" s="181"/>
      <c r="AM42" s="175"/>
      <c r="AN42" s="192"/>
      <c r="AO42" s="13"/>
      <c r="AP42" s="181"/>
      <c r="AQ42" s="175"/>
      <c r="AR42" s="18"/>
      <c r="AS42" s="12"/>
      <c r="AT42" s="12"/>
      <c r="AU42" s="12"/>
      <c r="AV42" s="12"/>
      <c r="AW42" s="137"/>
      <c r="AX42" s="13"/>
      <c r="AY42" s="138"/>
      <c r="AZ42" s="140"/>
      <c r="BA42" s="18"/>
      <c r="BB42" s="18" t="e">
        <f>IF(#REF!&lt;&gt;0,IF(LL[[#This Row],[Date of Birth]]&lt;&gt;0,YEAR(#REF!-LL[[#This Row],[Date of Birth]])-1900,""),"")</f>
        <v>#REF!</v>
      </c>
      <c r="BC42" s="2" t="str">
        <f>IF(LL[[#This Row],[Sx Onset Date]]&gt;0,LL[[#This Row],[Sx Onset Date]],"")</f>
        <v/>
      </c>
      <c r="BD42" s="2" t="str">
        <f>IF(LL[[#This Row],[Lab-confirmed?]]="Y",LL[[#This Row],[Test Date]],"")</f>
        <v/>
      </c>
      <c r="BE42" s="2" t="str">
        <f>IF(LL[[#This Row],[Lab-confirmed?]]="Y",LL[[#This Row],[Test Date 2]],"")</f>
        <v/>
      </c>
      <c r="BF42" s="139" t="str">
        <f>IF(LL[[#This Row],[Date Reported to Public Health]]&gt;0,LL[[#This Row],[Date Reported to Public Health]],"")</f>
        <v/>
      </c>
      <c r="BG42" s="13" t="str">
        <f t="shared" si="0"/>
        <v/>
      </c>
    </row>
    <row r="43" spans="1:59" x14ac:dyDescent="0.3">
      <c r="A43" s="11">
        <v>39</v>
      </c>
      <c r="B43" s="12"/>
      <c r="C43" s="13"/>
      <c r="D43" s="12"/>
      <c r="E43" s="12"/>
      <c r="F43" s="12"/>
      <c r="G43" s="16"/>
      <c r="H43" s="12"/>
      <c r="I43" s="14"/>
      <c r="J43" s="137"/>
      <c r="K43" s="137"/>
      <c r="L43" s="18"/>
      <c r="M43" s="139"/>
      <c r="N43" s="140"/>
      <c r="O43" s="137"/>
      <c r="P43" s="137"/>
      <c r="Q43" s="15"/>
      <c r="R43" s="12"/>
      <c r="S43" s="12"/>
      <c r="T43" s="12"/>
      <c r="U43" s="14"/>
      <c r="V43" s="15"/>
      <c r="W43" s="12"/>
      <c r="X43" s="12"/>
      <c r="Y43" s="12"/>
      <c r="Z43" s="12"/>
      <c r="AA43" s="12"/>
      <c r="AB43" s="14"/>
      <c r="AC43" s="15"/>
      <c r="AD43" s="12"/>
      <c r="AE43" s="12"/>
      <c r="AF43" s="14"/>
      <c r="AG43" s="18"/>
      <c r="AH43" s="18"/>
      <c r="AI43" s="17"/>
      <c r="AJ43" s="181"/>
      <c r="AK43" s="13"/>
      <c r="AL43" s="181"/>
      <c r="AM43" s="175"/>
      <c r="AN43" s="192"/>
      <c r="AO43" s="13"/>
      <c r="AP43" s="181"/>
      <c r="AQ43" s="175"/>
      <c r="AR43" s="18"/>
      <c r="AS43" s="12"/>
      <c r="AT43" s="12"/>
      <c r="AU43" s="12"/>
      <c r="AV43" s="12"/>
      <c r="AW43" s="137"/>
      <c r="AX43" s="13"/>
      <c r="AY43" s="138"/>
      <c r="AZ43" s="140"/>
      <c r="BA43" s="18"/>
      <c r="BB43" s="18" t="e">
        <f>IF(#REF!&lt;&gt;0,IF(LL[[#This Row],[Date of Birth]]&lt;&gt;0,YEAR(#REF!-LL[[#This Row],[Date of Birth]])-1900,""),"")</f>
        <v>#REF!</v>
      </c>
      <c r="BC43" s="2" t="str">
        <f>IF(LL[[#This Row],[Sx Onset Date]]&gt;0,LL[[#This Row],[Sx Onset Date]],"")</f>
        <v/>
      </c>
      <c r="BD43" s="2" t="str">
        <f>IF(LL[[#This Row],[Lab-confirmed?]]="Y",LL[[#This Row],[Test Date]],"")</f>
        <v/>
      </c>
      <c r="BE43" s="2" t="str">
        <f>IF(LL[[#This Row],[Lab-confirmed?]]="Y",LL[[#This Row],[Test Date 2]],"")</f>
        <v/>
      </c>
      <c r="BF43" s="139" t="str">
        <f>IF(LL[[#This Row],[Date Reported to Public Health]]&gt;0,LL[[#This Row],[Date Reported to Public Health]],"")</f>
        <v/>
      </c>
      <c r="BG43" s="13" t="str">
        <f t="shared" si="0"/>
        <v/>
      </c>
    </row>
    <row r="44" spans="1:59" x14ac:dyDescent="0.3">
      <c r="A44" s="11">
        <v>40</v>
      </c>
      <c r="B44" s="12"/>
      <c r="C44" s="13"/>
      <c r="D44" s="12"/>
      <c r="E44" s="12"/>
      <c r="F44" s="12"/>
      <c r="G44" s="16"/>
      <c r="H44" s="12"/>
      <c r="I44" s="14"/>
      <c r="J44" s="137"/>
      <c r="K44" s="137"/>
      <c r="L44" s="18"/>
      <c r="M44" s="139"/>
      <c r="N44" s="140"/>
      <c r="O44" s="137"/>
      <c r="P44" s="137"/>
      <c r="Q44" s="15"/>
      <c r="R44" s="12"/>
      <c r="S44" s="12"/>
      <c r="T44" s="12"/>
      <c r="U44" s="14"/>
      <c r="V44" s="15"/>
      <c r="W44" s="12"/>
      <c r="X44" s="12"/>
      <c r="Y44" s="12"/>
      <c r="Z44" s="12"/>
      <c r="AA44" s="12"/>
      <c r="AB44" s="14"/>
      <c r="AC44" s="15"/>
      <c r="AD44" s="12"/>
      <c r="AE44" s="12"/>
      <c r="AF44" s="14"/>
      <c r="AG44" s="18"/>
      <c r="AH44" s="18"/>
      <c r="AI44" s="17"/>
      <c r="AJ44" s="181"/>
      <c r="AK44" s="13"/>
      <c r="AL44" s="181"/>
      <c r="AM44" s="175"/>
      <c r="AN44" s="192"/>
      <c r="AO44" s="13"/>
      <c r="AP44" s="181"/>
      <c r="AQ44" s="175"/>
      <c r="AR44" s="18"/>
      <c r="AS44" s="12"/>
      <c r="AT44" s="12"/>
      <c r="AU44" s="12"/>
      <c r="AV44" s="12"/>
      <c r="AW44" s="137"/>
      <c r="AX44" s="13"/>
      <c r="AY44" s="138"/>
      <c r="AZ44" s="140"/>
      <c r="BA44" s="18"/>
      <c r="BB44" s="18" t="e">
        <f>IF(#REF!&lt;&gt;0,IF(LL[[#This Row],[Date of Birth]]&lt;&gt;0,YEAR(#REF!-LL[[#This Row],[Date of Birth]])-1900,""),"")</f>
        <v>#REF!</v>
      </c>
      <c r="BC44" s="2" t="str">
        <f>IF(LL[[#This Row],[Sx Onset Date]]&gt;0,LL[[#This Row],[Sx Onset Date]],"")</f>
        <v/>
      </c>
      <c r="BD44" s="2" t="str">
        <f>IF(LL[[#This Row],[Lab-confirmed?]]="Y",LL[[#This Row],[Test Date]],"")</f>
        <v/>
      </c>
      <c r="BE44" s="2" t="str">
        <f>IF(LL[[#This Row],[Lab-confirmed?]]="Y",LL[[#This Row],[Test Date 2]],"")</f>
        <v/>
      </c>
      <c r="BF44" s="139" t="str">
        <f>IF(LL[[#This Row],[Date Reported to Public Health]]&gt;0,LL[[#This Row],[Date Reported to Public Health]],"")</f>
        <v/>
      </c>
      <c r="BG44" s="13" t="str">
        <f t="shared" si="0"/>
        <v/>
      </c>
    </row>
    <row r="45" spans="1:59" x14ac:dyDescent="0.3">
      <c r="A45" s="11">
        <v>41</v>
      </c>
      <c r="B45" s="12"/>
      <c r="C45" s="13"/>
      <c r="D45" s="12"/>
      <c r="E45" s="12"/>
      <c r="F45" s="12"/>
      <c r="G45" s="16"/>
      <c r="H45" s="12"/>
      <c r="I45" s="14"/>
      <c r="J45" s="137"/>
      <c r="K45" s="137"/>
      <c r="L45" s="18"/>
      <c r="M45" s="139"/>
      <c r="N45" s="140"/>
      <c r="O45" s="137"/>
      <c r="P45" s="137"/>
      <c r="Q45" s="15"/>
      <c r="R45" s="12"/>
      <c r="S45" s="12"/>
      <c r="T45" s="12"/>
      <c r="U45" s="14"/>
      <c r="V45" s="15"/>
      <c r="W45" s="12"/>
      <c r="X45" s="12"/>
      <c r="Y45" s="12"/>
      <c r="Z45" s="12"/>
      <c r="AA45" s="12"/>
      <c r="AB45" s="14"/>
      <c r="AC45" s="15"/>
      <c r="AD45" s="12"/>
      <c r="AE45" s="12"/>
      <c r="AF45" s="14"/>
      <c r="AG45" s="18"/>
      <c r="AH45" s="18"/>
      <c r="AI45" s="17"/>
      <c r="AJ45" s="181"/>
      <c r="AK45" s="13"/>
      <c r="AL45" s="181"/>
      <c r="AM45" s="175"/>
      <c r="AN45" s="192"/>
      <c r="AO45" s="13"/>
      <c r="AP45" s="181"/>
      <c r="AQ45" s="175"/>
      <c r="AR45" s="18"/>
      <c r="AS45" s="12"/>
      <c r="AT45" s="12"/>
      <c r="AU45" s="12"/>
      <c r="AV45" s="12"/>
      <c r="AW45" s="137"/>
      <c r="AX45" s="13"/>
      <c r="AY45" s="138"/>
      <c r="AZ45" s="140"/>
      <c r="BA45" s="18"/>
      <c r="BB45" s="18" t="e">
        <f>IF(#REF!&lt;&gt;0,IF(LL[[#This Row],[Date of Birth]]&lt;&gt;0,YEAR(#REF!-LL[[#This Row],[Date of Birth]])-1900,""),"")</f>
        <v>#REF!</v>
      </c>
      <c r="BC45" s="2" t="str">
        <f>IF(LL[[#This Row],[Sx Onset Date]]&gt;0,LL[[#This Row],[Sx Onset Date]],"")</f>
        <v/>
      </c>
      <c r="BD45" s="2" t="str">
        <f>IF(LL[[#This Row],[Lab-confirmed?]]="Y",LL[[#This Row],[Test Date]],"")</f>
        <v/>
      </c>
      <c r="BE45" s="2" t="str">
        <f>IF(LL[[#This Row],[Lab-confirmed?]]="Y",LL[[#This Row],[Test Date 2]],"")</f>
        <v/>
      </c>
      <c r="BF45" s="139" t="str">
        <f>IF(LL[[#This Row],[Date Reported to Public Health]]&gt;0,LL[[#This Row],[Date Reported to Public Health]],"")</f>
        <v/>
      </c>
      <c r="BG45" s="13" t="str">
        <f t="shared" si="0"/>
        <v/>
      </c>
    </row>
    <row r="46" spans="1:59" x14ac:dyDescent="0.3">
      <c r="A46" s="11">
        <v>42</v>
      </c>
      <c r="B46" s="12"/>
      <c r="C46" s="13"/>
      <c r="D46" s="12"/>
      <c r="E46" s="12"/>
      <c r="F46" s="12"/>
      <c r="G46" s="16"/>
      <c r="H46" s="12"/>
      <c r="I46" s="14"/>
      <c r="J46" s="137"/>
      <c r="K46" s="137"/>
      <c r="L46" s="18"/>
      <c r="M46" s="139"/>
      <c r="N46" s="140"/>
      <c r="O46" s="137"/>
      <c r="P46" s="137"/>
      <c r="Q46" s="15"/>
      <c r="R46" s="12"/>
      <c r="S46" s="12"/>
      <c r="T46" s="12"/>
      <c r="U46" s="14"/>
      <c r="V46" s="15"/>
      <c r="W46" s="12"/>
      <c r="X46" s="12"/>
      <c r="Y46" s="12"/>
      <c r="Z46" s="12"/>
      <c r="AA46" s="12"/>
      <c r="AB46" s="14"/>
      <c r="AC46" s="15"/>
      <c r="AD46" s="12"/>
      <c r="AE46" s="12"/>
      <c r="AF46" s="14"/>
      <c r="AG46" s="18"/>
      <c r="AH46" s="18"/>
      <c r="AI46" s="17"/>
      <c r="AJ46" s="181"/>
      <c r="AK46" s="13"/>
      <c r="AL46" s="181"/>
      <c r="AM46" s="175"/>
      <c r="AN46" s="192"/>
      <c r="AO46" s="13"/>
      <c r="AP46" s="181"/>
      <c r="AQ46" s="175"/>
      <c r="AR46" s="18"/>
      <c r="AS46" s="12"/>
      <c r="AT46" s="12"/>
      <c r="AU46" s="12"/>
      <c r="AV46" s="12"/>
      <c r="AW46" s="137"/>
      <c r="AX46" s="13"/>
      <c r="AY46" s="138"/>
      <c r="AZ46" s="140"/>
      <c r="BA46" s="18"/>
      <c r="BB46" s="18" t="e">
        <f>IF(#REF!&lt;&gt;0,IF(LL[[#This Row],[Date of Birth]]&lt;&gt;0,YEAR(#REF!-LL[[#This Row],[Date of Birth]])-1900,""),"")</f>
        <v>#REF!</v>
      </c>
      <c r="BC46" s="2" t="str">
        <f>IF(LL[[#This Row],[Sx Onset Date]]&gt;0,LL[[#This Row],[Sx Onset Date]],"")</f>
        <v/>
      </c>
      <c r="BD46" s="2" t="str">
        <f>IF(LL[[#This Row],[Lab-confirmed?]]="Y",LL[[#This Row],[Test Date]],"")</f>
        <v/>
      </c>
      <c r="BE46" s="2" t="str">
        <f>IF(LL[[#This Row],[Lab-confirmed?]]="Y",LL[[#This Row],[Test Date 2]],"")</f>
        <v/>
      </c>
      <c r="BF46" s="139" t="str">
        <f>IF(LL[[#This Row],[Date Reported to Public Health]]&gt;0,LL[[#This Row],[Date Reported to Public Health]],"")</f>
        <v/>
      </c>
      <c r="BG46" s="13" t="str">
        <f t="shared" si="0"/>
        <v/>
      </c>
    </row>
    <row r="47" spans="1:59" x14ac:dyDescent="0.3">
      <c r="A47" s="11">
        <v>43</v>
      </c>
      <c r="B47" s="12"/>
      <c r="C47" s="13"/>
      <c r="D47" s="12"/>
      <c r="E47" s="12"/>
      <c r="F47" s="12"/>
      <c r="G47" s="16"/>
      <c r="H47" s="12"/>
      <c r="I47" s="14"/>
      <c r="J47" s="137"/>
      <c r="K47" s="137"/>
      <c r="L47" s="18"/>
      <c r="M47" s="139"/>
      <c r="N47" s="140"/>
      <c r="O47" s="137"/>
      <c r="P47" s="137"/>
      <c r="Q47" s="15"/>
      <c r="R47" s="12"/>
      <c r="S47" s="12"/>
      <c r="T47" s="12"/>
      <c r="U47" s="14"/>
      <c r="V47" s="15"/>
      <c r="W47" s="12"/>
      <c r="X47" s="12"/>
      <c r="Y47" s="12"/>
      <c r="Z47" s="12"/>
      <c r="AA47" s="12"/>
      <c r="AB47" s="14"/>
      <c r="AC47" s="15"/>
      <c r="AD47" s="12"/>
      <c r="AE47" s="12"/>
      <c r="AF47" s="14"/>
      <c r="AG47" s="18"/>
      <c r="AH47" s="18"/>
      <c r="AI47" s="17"/>
      <c r="AJ47" s="181"/>
      <c r="AK47" s="13"/>
      <c r="AL47" s="181"/>
      <c r="AM47" s="175"/>
      <c r="AN47" s="192"/>
      <c r="AO47" s="13"/>
      <c r="AP47" s="181"/>
      <c r="AQ47" s="175"/>
      <c r="AR47" s="18"/>
      <c r="AS47" s="12"/>
      <c r="AT47" s="12"/>
      <c r="AU47" s="12"/>
      <c r="AV47" s="12"/>
      <c r="AW47" s="137"/>
      <c r="AX47" s="13"/>
      <c r="AY47" s="138"/>
      <c r="AZ47" s="140"/>
      <c r="BA47" s="18"/>
      <c r="BB47" s="18" t="e">
        <f>IF(#REF!&lt;&gt;0,IF(LL[[#This Row],[Date of Birth]]&lt;&gt;0,YEAR(#REF!-LL[[#This Row],[Date of Birth]])-1900,""),"")</f>
        <v>#REF!</v>
      </c>
      <c r="BC47" s="2" t="str">
        <f>IF(LL[[#This Row],[Sx Onset Date]]&gt;0,LL[[#This Row],[Sx Onset Date]],"")</f>
        <v/>
      </c>
      <c r="BD47" s="2" t="str">
        <f>IF(LL[[#This Row],[Lab-confirmed?]]="Y",LL[[#This Row],[Test Date]],"")</f>
        <v/>
      </c>
      <c r="BE47" s="2" t="str">
        <f>IF(LL[[#This Row],[Lab-confirmed?]]="Y",LL[[#This Row],[Test Date 2]],"")</f>
        <v/>
      </c>
      <c r="BF47" s="139" t="str">
        <f>IF(LL[[#This Row],[Date Reported to Public Health]]&gt;0,LL[[#This Row],[Date Reported to Public Health]],"")</f>
        <v/>
      </c>
      <c r="BG47" s="13" t="str">
        <f t="shared" si="0"/>
        <v/>
      </c>
    </row>
    <row r="48" spans="1:59" x14ac:dyDescent="0.3">
      <c r="A48" s="11">
        <v>44</v>
      </c>
      <c r="B48" s="12"/>
      <c r="C48" s="13"/>
      <c r="D48" s="12"/>
      <c r="E48" s="12"/>
      <c r="F48" s="12"/>
      <c r="G48" s="16"/>
      <c r="H48" s="12"/>
      <c r="I48" s="14"/>
      <c r="J48" s="137"/>
      <c r="K48" s="137"/>
      <c r="L48" s="18"/>
      <c r="M48" s="139"/>
      <c r="N48" s="140"/>
      <c r="O48" s="137"/>
      <c r="P48" s="137"/>
      <c r="Q48" s="15"/>
      <c r="R48" s="12"/>
      <c r="S48" s="12"/>
      <c r="T48" s="12"/>
      <c r="U48" s="14"/>
      <c r="V48" s="15"/>
      <c r="W48" s="12"/>
      <c r="X48" s="12"/>
      <c r="Y48" s="12"/>
      <c r="Z48" s="12"/>
      <c r="AA48" s="12"/>
      <c r="AB48" s="14"/>
      <c r="AC48" s="15"/>
      <c r="AD48" s="12"/>
      <c r="AE48" s="12"/>
      <c r="AF48" s="14"/>
      <c r="AG48" s="18"/>
      <c r="AH48" s="18"/>
      <c r="AI48" s="17"/>
      <c r="AJ48" s="181"/>
      <c r="AK48" s="13"/>
      <c r="AL48" s="181"/>
      <c r="AM48" s="175"/>
      <c r="AN48" s="192"/>
      <c r="AO48" s="13"/>
      <c r="AP48" s="181"/>
      <c r="AQ48" s="175"/>
      <c r="AR48" s="18"/>
      <c r="AS48" s="12"/>
      <c r="AT48" s="12"/>
      <c r="AU48" s="12"/>
      <c r="AV48" s="12"/>
      <c r="AW48" s="137"/>
      <c r="AX48" s="13"/>
      <c r="AY48" s="138"/>
      <c r="AZ48" s="140"/>
      <c r="BA48" s="18"/>
      <c r="BB48" s="18" t="e">
        <f>IF(#REF!&lt;&gt;0,IF(LL[[#This Row],[Date of Birth]]&lt;&gt;0,YEAR(#REF!-LL[[#This Row],[Date of Birth]])-1900,""),"")</f>
        <v>#REF!</v>
      </c>
      <c r="BC48" s="2" t="str">
        <f>IF(LL[[#This Row],[Sx Onset Date]]&gt;0,LL[[#This Row],[Sx Onset Date]],"")</f>
        <v/>
      </c>
      <c r="BD48" s="2" t="str">
        <f>IF(LL[[#This Row],[Lab-confirmed?]]="Y",LL[[#This Row],[Test Date]],"")</f>
        <v/>
      </c>
      <c r="BE48" s="2" t="str">
        <f>IF(LL[[#This Row],[Lab-confirmed?]]="Y",LL[[#This Row],[Test Date 2]],"")</f>
        <v/>
      </c>
      <c r="BF48" s="139" t="str">
        <f>IF(LL[[#This Row],[Date Reported to Public Health]]&gt;0,LL[[#This Row],[Date Reported to Public Health]],"")</f>
        <v/>
      </c>
      <c r="BG48" s="13" t="str">
        <f t="shared" si="0"/>
        <v/>
      </c>
    </row>
    <row r="49" spans="1:59" x14ac:dyDescent="0.3">
      <c r="A49" s="11">
        <v>45</v>
      </c>
      <c r="B49" s="12"/>
      <c r="C49" s="13"/>
      <c r="D49" s="12"/>
      <c r="E49" s="12"/>
      <c r="F49" s="12"/>
      <c r="G49" s="16"/>
      <c r="H49" s="12"/>
      <c r="I49" s="14"/>
      <c r="J49" s="137"/>
      <c r="K49" s="137"/>
      <c r="L49" s="18"/>
      <c r="M49" s="139"/>
      <c r="N49" s="140"/>
      <c r="O49" s="137"/>
      <c r="P49" s="137"/>
      <c r="Q49" s="15"/>
      <c r="R49" s="12"/>
      <c r="S49" s="12"/>
      <c r="T49" s="12"/>
      <c r="U49" s="14"/>
      <c r="V49" s="15"/>
      <c r="W49" s="12"/>
      <c r="X49" s="12"/>
      <c r="Y49" s="12"/>
      <c r="Z49" s="12"/>
      <c r="AA49" s="12"/>
      <c r="AB49" s="14"/>
      <c r="AC49" s="15"/>
      <c r="AD49" s="12"/>
      <c r="AE49" s="12"/>
      <c r="AF49" s="14"/>
      <c r="AG49" s="18"/>
      <c r="AH49" s="18"/>
      <c r="AI49" s="17"/>
      <c r="AJ49" s="181"/>
      <c r="AK49" s="13"/>
      <c r="AL49" s="181"/>
      <c r="AM49" s="175"/>
      <c r="AN49" s="192"/>
      <c r="AO49" s="13"/>
      <c r="AP49" s="181"/>
      <c r="AQ49" s="175"/>
      <c r="AR49" s="18"/>
      <c r="AS49" s="12"/>
      <c r="AT49" s="12"/>
      <c r="AU49" s="12"/>
      <c r="AV49" s="12"/>
      <c r="AW49" s="137"/>
      <c r="AX49" s="13"/>
      <c r="AY49" s="138"/>
      <c r="AZ49" s="140"/>
      <c r="BA49" s="18"/>
      <c r="BB49" s="18" t="e">
        <f>IF(#REF!&lt;&gt;0,IF(LL[[#This Row],[Date of Birth]]&lt;&gt;0,YEAR(#REF!-LL[[#This Row],[Date of Birth]])-1900,""),"")</f>
        <v>#REF!</v>
      </c>
      <c r="BC49" s="2" t="str">
        <f>IF(LL[[#This Row],[Sx Onset Date]]&gt;0,LL[[#This Row],[Sx Onset Date]],"")</f>
        <v/>
      </c>
      <c r="BD49" s="2" t="str">
        <f>IF(LL[[#This Row],[Lab-confirmed?]]="Y",LL[[#This Row],[Test Date]],"")</f>
        <v/>
      </c>
      <c r="BE49" s="2" t="str">
        <f>IF(LL[[#This Row],[Lab-confirmed?]]="Y",LL[[#This Row],[Test Date 2]],"")</f>
        <v/>
      </c>
      <c r="BF49" s="139" t="str">
        <f>IF(LL[[#This Row],[Date Reported to Public Health]]&gt;0,LL[[#This Row],[Date Reported to Public Health]],"")</f>
        <v/>
      </c>
      <c r="BG49" s="13" t="str">
        <f t="shared" si="0"/>
        <v/>
      </c>
    </row>
    <row r="50" spans="1:59" x14ac:dyDescent="0.3">
      <c r="A50" s="11">
        <v>46</v>
      </c>
      <c r="B50" s="12"/>
      <c r="C50" s="13"/>
      <c r="D50" s="12"/>
      <c r="E50" s="12"/>
      <c r="F50" s="12"/>
      <c r="G50" s="16"/>
      <c r="H50" s="12"/>
      <c r="I50" s="14"/>
      <c r="J50" s="137"/>
      <c r="K50" s="137"/>
      <c r="L50" s="18"/>
      <c r="M50" s="139"/>
      <c r="N50" s="140"/>
      <c r="O50" s="137"/>
      <c r="P50" s="137"/>
      <c r="Q50" s="15"/>
      <c r="R50" s="12"/>
      <c r="S50" s="12"/>
      <c r="T50" s="12"/>
      <c r="U50" s="14"/>
      <c r="V50" s="15"/>
      <c r="W50" s="12"/>
      <c r="X50" s="12"/>
      <c r="Y50" s="12"/>
      <c r="Z50" s="12"/>
      <c r="AA50" s="12"/>
      <c r="AB50" s="14"/>
      <c r="AC50" s="15"/>
      <c r="AD50" s="12"/>
      <c r="AE50" s="12"/>
      <c r="AF50" s="14"/>
      <c r="AG50" s="18"/>
      <c r="AH50" s="18"/>
      <c r="AI50" s="17"/>
      <c r="AJ50" s="181"/>
      <c r="AK50" s="13"/>
      <c r="AL50" s="181"/>
      <c r="AM50" s="175"/>
      <c r="AN50" s="192"/>
      <c r="AO50" s="13"/>
      <c r="AP50" s="181"/>
      <c r="AQ50" s="175"/>
      <c r="AR50" s="18"/>
      <c r="AS50" s="12"/>
      <c r="AT50" s="12"/>
      <c r="AU50" s="12"/>
      <c r="AV50" s="12"/>
      <c r="AW50" s="137"/>
      <c r="AX50" s="13"/>
      <c r="AY50" s="138"/>
      <c r="AZ50" s="140"/>
      <c r="BA50" s="18"/>
      <c r="BB50" s="18" t="e">
        <f>IF(#REF!&lt;&gt;0,IF(LL[[#This Row],[Date of Birth]]&lt;&gt;0,YEAR(#REF!-LL[[#This Row],[Date of Birth]])-1900,""),"")</f>
        <v>#REF!</v>
      </c>
      <c r="BC50" s="2" t="str">
        <f>IF(LL[[#This Row],[Sx Onset Date]]&gt;0,LL[[#This Row],[Sx Onset Date]],"")</f>
        <v/>
      </c>
      <c r="BD50" s="2" t="str">
        <f>IF(LL[[#This Row],[Lab-confirmed?]]="Y",LL[[#This Row],[Test Date]],"")</f>
        <v/>
      </c>
      <c r="BE50" s="2" t="str">
        <f>IF(LL[[#This Row],[Lab-confirmed?]]="Y",LL[[#This Row],[Test Date 2]],"")</f>
        <v/>
      </c>
      <c r="BF50" s="139" t="str">
        <f>IF(LL[[#This Row],[Date Reported to Public Health]]&gt;0,LL[[#This Row],[Date Reported to Public Health]],"")</f>
        <v/>
      </c>
      <c r="BG50" s="13" t="str">
        <f t="shared" si="0"/>
        <v/>
      </c>
    </row>
    <row r="51" spans="1:59" x14ac:dyDescent="0.3">
      <c r="A51" s="11">
        <v>47</v>
      </c>
      <c r="B51" s="12"/>
      <c r="C51" s="13"/>
      <c r="D51" s="12"/>
      <c r="E51" s="12"/>
      <c r="F51" s="12"/>
      <c r="G51" s="16"/>
      <c r="H51" s="12"/>
      <c r="I51" s="14"/>
      <c r="J51" s="137"/>
      <c r="K51" s="137"/>
      <c r="L51" s="18"/>
      <c r="M51" s="139"/>
      <c r="N51" s="140"/>
      <c r="O51" s="137"/>
      <c r="P51" s="137"/>
      <c r="Q51" s="15"/>
      <c r="R51" s="12"/>
      <c r="S51" s="12"/>
      <c r="T51" s="12"/>
      <c r="U51" s="14"/>
      <c r="V51" s="15"/>
      <c r="W51" s="12"/>
      <c r="X51" s="12"/>
      <c r="Y51" s="12"/>
      <c r="Z51" s="12"/>
      <c r="AA51" s="12"/>
      <c r="AB51" s="14"/>
      <c r="AC51" s="15"/>
      <c r="AD51" s="12"/>
      <c r="AE51" s="12"/>
      <c r="AF51" s="14"/>
      <c r="AG51" s="18"/>
      <c r="AH51" s="18"/>
      <c r="AI51" s="17"/>
      <c r="AJ51" s="181"/>
      <c r="AK51" s="13"/>
      <c r="AL51" s="181"/>
      <c r="AM51" s="175"/>
      <c r="AN51" s="192"/>
      <c r="AO51" s="13"/>
      <c r="AP51" s="181"/>
      <c r="AQ51" s="175"/>
      <c r="AR51" s="18"/>
      <c r="AS51" s="12"/>
      <c r="AT51" s="12"/>
      <c r="AU51" s="12"/>
      <c r="AV51" s="12"/>
      <c r="AW51" s="137"/>
      <c r="AX51" s="13"/>
      <c r="AY51" s="138"/>
      <c r="AZ51" s="140"/>
      <c r="BA51" s="18"/>
      <c r="BB51" s="18" t="e">
        <f>IF(#REF!&lt;&gt;0,IF(LL[[#This Row],[Date of Birth]]&lt;&gt;0,YEAR(#REF!-LL[[#This Row],[Date of Birth]])-1900,""),"")</f>
        <v>#REF!</v>
      </c>
      <c r="BC51" s="2" t="str">
        <f>IF(LL[[#This Row],[Sx Onset Date]]&gt;0,LL[[#This Row],[Sx Onset Date]],"")</f>
        <v/>
      </c>
      <c r="BD51" s="2" t="str">
        <f>IF(LL[[#This Row],[Lab-confirmed?]]="Y",LL[[#This Row],[Test Date]],"")</f>
        <v/>
      </c>
      <c r="BE51" s="2" t="str">
        <f>IF(LL[[#This Row],[Lab-confirmed?]]="Y",LL[[#This Row],[Test Date 2]],"")</f>
        <v/>
      </c>
      <c r="BF51" s="139" t="str">
        <f>IF(LL[[#This Row],[Date Reported to Public Health]]&gt;0,LL[[#This Row],[Date Reported to Public Health]],"")</f>
        <v/>
      </c>
      <c r="BG51" s="13" t="str">
        <f t="shared" si="0"/>
        <v/>
      </c>
    </row>
    <row r="52" spans="1:59" x14ac:dyDescent="0.3">
      <c r="A52" s="11">
        <v>48</v>
      </c>
      <c r="B52" s="12"/>
      <c r="C52" s="13"/>
      <c r="D52" s="12"/>
      <c r="E52" s="12"/>
      <c r="F52" s="12"/>
      <c r="G52" s="16"/>
      <c r="H52" s="12"/>
      <c r="I52" s="14"/>
      <c r="J52" s="137"/>
      <c r="K52" s="137"/>
      <c r="L52" s="18"/>
      <c r="M52" s="139"/>
      <c r="N52" s="140"/>
      <c r="O52" s="137"/>
      <c r="P52" s="137"/>
      <c r="Q52" s="15"/>
      <c r="R52" s="12"/>
      <c r="S52" s="12"/>
      <c r="T52" s="12"/>
      <c r="U52" s="14"/>
      <c r="V52" s="15"/>
      <c r="W52" s="12"/>
      <c r="X52" s="12"/>
      <c r="Y52" s="12"/>
      <c r="Z52" s="12"/>
      <c r="AA52" s="12"/>
      <c r="AB52" s="14"/>
      <c r="AC52" s="15"/>
      <c r="AD52" s="12"/>
      <c r="AE52" s="12"/>
      <c r="AF52" s="14"/>
      <c r="AG52" s="18"/>
      <c r="AH52" s="18"/>
      <c r="AI52" s="17"/>
      <c r="AJ52" s="181"/>
      <c r="AK52" s="13"/>
      <c r="AL52" s="181"/>
      <c r="AM52" s="175"/>
      <c r="AN52" s="192"/>
      <c r="AO52" s="13"/>
      <c r="AP52" s="181"/>
      <c r="AQ52" s="175"/>
      <c r="AR52" s="18"/>
      <c r="AS52" s="12"/>
      <c r="AT52" s="12"/>
      <c r="AU52" s="12"/>
      <c r="AV52" s="12"/>
      <c r="AW52" s="137"/>
      <c r="AX52" s="13"/>
      <c r="AY52" s="138"/>
      <c r="AZ52" s="140"/>
      <c r="BA52" s="18"/>
      <c r="BB52" s="18" t="e">
        <f>IF(#REF!&lt;&gt;0,IF(LL[[#This Row],[Date of Birth]]&lt;&gt;0,YEAR(#REF!-LL[[#This Row],[Date of Birth]])-1900,""),"")</f>
        <v>#REF!</v>
      </c>
      <c r="BC52" s="2" t="str">
        <f>IF(LL[[#This Row],[Sx Onset Date]]&gt;0,LL[[#This Row],[Sx Onset Date]],"")</f>
        <v/>
      </c>
      <c r="BD52" s="2" t="str">
        <f>IF(LL[[#This Row],[Lab-confirmed?]]="Y",LL[[#This Row],[Test Date]],"")</f>
        <v/>
      </c>
      <c r="BE52" s="2" t="str">
        <f>IF(LL[[#This Row],[Lab-confirmed?]]="Y",LL[[#This Row],[Test Date 2]],"")</f>
        <v/>
      </c>
      <c r="BF52" s="139" t="str">
        <f>IF(LL[[#This Row],[Date Reported to Public Health]]&gt;0,LL[[#This Row],[Date Reported to Public Health]],"")</f>
        <v/>
      </c>
      <c r="BG52" s="13" t="str">
        <f t="shared" si="0"/>
        <v/>
      </c>
    </row>
    <row r="53" spans="1:59" x14ac:dyDescent="0.3">
      <c r="A53" s="11">
        <v>49</v>
      </c>
      <c r="B53" s="12"/>
      <c r="C53" s="13"/>
      <c r="D53" s="12"/>
      <c r="E53" s="12"/>
      <c r="F53" s="12"/>
      <c r="G53" s="16"/>
      <c r="H53" s="12"/>
      <c r="I53" s="14"/>
      <c r="J53" s="137"/>
      <c r="K53" s="137"/>
      <c r="L53" s="18"/>
      <c r="M53" s="139"/>
      <c r="N53" s="140"/>
      <c r="O53" s="137"/>
      <c r="P53" s="137"/>
      <c r="Q53" s="15"/>
      <c r="R53" s="12"/>
      <c r="S53" s="12"/>
      <c r="T53" s="12"/>
      <c r="U53" s="14"/>
      <c r="V53" s="15"/>
      <c r="W53" s="12"/>
      <c r="X53" s="12"/>
      <c r="Y53" s="12"/>
      <c r="Z53" s="12"/>
      <c r="AA53" s="12"/>
      <c r="AB53" s="14"/>
      <c r="AC53" s="15"/>
      <c r="AD53" s="12"/>
      <c r="AE53" s="12"/>
      <c r="AF53" s="14"/>
      <c r="AG53" s="18"/>
      <c r="AH53" s="18"/>
      <c r="AI53" s="17"/>
      <c r="AJ53" s="181"/>
      <c r="AK53" s="13"/>
      <c r="AL53" s="181"/>
      <c r="AM53" s="175"/>
      <c r="AN53" s="192"/>
      <c r="AO53" s="13"/>
      <c r="AP53" s="181"/>
      <c r="AQ53" s="175"/>
      <c r="AR53" s="18"/>
      <c r="AS53" s="12"/>
      <c r="AT53" s="12"/>
      <c r="AU53" s="12"/>
      <c r="AV53" s="12"/>
      <c r="AW53" s="137"/>
      <c r="AX53" s="13"/>
      <c r="AY53" s="138"/>
      <c r="AZ53" s="140"/>
      <c r="BA53" s="18"/>
      <c r="BB53" s="18" t="e">
        <f>IF(#REF!&lt;&gt;0,IF(LL[[#This Row],[Date of Birth]]&lt;&gt;0,YEAR(#REF!-LL[[#This Row],[Date of Birth]])-1900,""),"")</f>
        <v>#REF!</v>
      </c>
      <c r="BC53" s="2" t="str">
        <f>IF(LL[[#This Row],[Sx Onset Date]]&gt;0,LL[[#This Row],[Sx Onset Date]],"")</f>
        <v/>
      </c>
      <c r="BD53" s="2" t="str">
        <f>IF(LL[[#This Row],[Lab-confirmed?]]="Y",LL[[#This Row],[Test Date]],"")</f>
        <v/>
      </c>
      <c r="BE53" s="2" t="str">
        <f>IF(LL[[#This Row],[Lab-confirmed?]]="Y",LL[[#This Row],[Test Date 2]],"")</f>
        <v/>
      </c>
      <c r="BF53" s="139" t="str">
        <f>IF(LL[[#This Row],[Date Reported to Public Health]]&gt;0,LL[[#This Row],[Date Reported to Public Health]],"")</f>
        <v/>
      </c>
      <c r="BG53" s="13" t="str">
        <f t="shared" si="0"/>
        <v/>
      </c>
    </row>
    <row r="54" spans="1:59" x14ac:dyDescent="0.3">
      <c r="A54" s="11">
        <v>50</v>
      </c>
      <c r="B54" s="12"/>
      <c r="C54" s="13"/>
      <c r="D54" s="12"/>
      <c r="E54" s="12"/>
      <c r="F54" s="12"/>
      <c r="G54" s="16"/>
      <c r="H54" s="12"/>
      <c r="I54" s="14"/>
      <c r="J54" s="137"/>
      <c r="K54" s="137"/>
      <c r="L54" s="18"/>
      <c r="M54" s="139"/>
      <c r="N54" s="140"/>
      <c r="O54" s="137"/>
      <c r="P54" s="137"/>
      <c r="Q54" s="15"/>
      <c r="R54" s="12"/>
      <c r="S54" s="12"/>
      <c r="T54" s="12"/>
      <c r="U54" s="14"/>
      <c r="V54" s="15"/>
      <c r="W54" s="12"/>
      <c r="X54" s="12"/>
      <c r="Y54" s="12"/>
      <c r="Z54" s="12"/>
      <c r="AA54" s="12"/>
      <c r="AB54" s="14"/>
      <c r="AC54" s="15"/>
      <c r="AD54" s="12"/>
      <c r="AE54" s="12"/>
      <c r="AF54" s="14"/>
      <c r="AG54" s="18"/>
      <c r="AH54" s="18"/>
      <c r="AI54" s="17"/>
      <c r="AJ54" s="181"/>
      <c r="AK54" s="13"/>
      <c r="AL54" s="181"/>
      <c r="AM54" s="175"/>
      <c r="AN54" s="192"/>
      <c r="AO54" s="13"/>
      <c r="AP54" s="181"/>
      <c r="AQ54" s="175"/>
      <c r="AR54" s="18"/>
      <c r="AS54" s="12"/>
      <c r="AT54" s="12"/>
      <c r="AU54" s="12"/>
      <c r="AV54" s="12"/>
      <c r="AW54" s="137"/>
      <c r="AX54" s="13"/>
      <c r="AY54" s="138"/>
      <c r="AZ54" s="140"/>
      <c r="BA54" s="18"/>
      <c r="BB54" s="18" t="e">
        <f>IF(#REF!&lt;&gt;0,IF(LL[[#This Row],[Date of Birth]]&lt;&gt;0,YEAR(#REF!-LL[[#This Row],[Date of Birth]])-1900,""),"")</f>
        <v>#REF!</v>
      </c>
      <c r="BC54" s="2" t="str">
        <f>IF(LL[[#This Row],[Sx Onset Date]]&gt;0,LL[[#This Row],[Sx Onset Date]],"")</f>
        <v/>
      </c>
      <c r="BD54" s="2" t="str">
        <f>IF(LL[[#This Row],[Lab-confirmed?]]="Y",LL[[#This Row],[Test Date]],"")</f>
        <v/>
      </c>
      <c r="BE54" s="2" t="str">
        <f>IF(LL[[#This Row],[Lab-confirmed?]]="Y",LL[[#This Row],[Test Date 2]],"")</f>
        <v/>
      </c>
      <c r="BF54" s="139" t="str">
        <f>IF(LL[[#This Row],[Date Reported to Public Health]]&gt;0,LL[[#This Row],[Date Reported to Public Health]],"")</f>
        <v/>
      </c>
      <c r="BG54" s="13" t="str">
        <f t="shared" si="0"/>
        <v/>
      </c>
    </row>
    <row r="55" spans="1:59" x14ac:dyDescent="0.3">
      <c r="A55" s="11">
        <v>51</v>
      </c>
      <c r="B55" s="12"/>
      <c r="C55" s="13"/>
      <c r="D55" s="12"/>
      <c r="E55" s="12"/>
      <c r="F55" s="12"/>
      <c r="G55" s="16"/>
      <c r="H55" s="12"/>
      <c r="I55" s="14"/>
      <c r="J55" s="137"/>
      <c r="K55" s="137"/>
      <c r="L55" s="18"/>
      <c r="M55" s="139"/>
      <c r="N55" s="140"/>
      <c r="O55" s="137"/>
      <c r="P55" s="137"/>
      <c r="Q55" s="15"/>
      <c r="R55" s="12"/>
      <c r="S55" s="12"/>
      <c r="T55" s="12"/>
      <c r="U55" s="14"/>
      <c r="V55" s="15"/>
      <c r="W55" s="12"/>
      <c r="X55" s="12"/>
      <c r="Y55" s="12"/>
      <c r="Z55" s="12"/>
      <c r="AA55" s="12"/>
      <c r="AB55" s="14"/>
      <c r="AC55" s="15"/>
      <c r="AD55" s="12"/>
      <c r="AE55" s="12"/>
      <c r="AF55" s="14"/>
      <c r="AG55" s="18"/>
      <c r="AH55" s="18"/>
      <c r="AI55" s="17"/>
      <c r="AJ55" s="181"/>
      <c r="AK55" s="13"/>
      <c r="AL55" s="181"/>
      <c r="AM55" s="175"/>
      <c r="AN55" s="192"/>
      <c r="AO55" s="13"/>
      <c r="AP55" s="181"/>
      <c r="AQ55" s="175"/>
      <c r="AR55" s="18"/>
      <c r="AS55" s="12"/>
      <c r="AT55" s="12"/>
      <c r="AU55" s="12"/>
      <c r="AV55" s="12"/>
      <c r="AW55" s="137"/>
      <c r="AX55" s="13"/>
      <c r="AY55" s="138"/>
      <c r="AZ55" s="140"/>
      <c r="BA55" s="18"/>
      <c r="BB55" s="18" t="e">
        <f>IF(#REF!&lt;&gt;0,IF(LL[[#This Row],[Date of Birth]]&lt;&gt;0,YEAR(#REF!-LL[[#This Row],[Date of Birth]])-1900,""),"")</f>
        <v>#REF!</v>
      </c>
      <c r="BC55" s="2" t="str">
        <f>IF(LL[[#This Row],[Sx Onset Date]]&gt;0,LL[[#This Row],[Sx Onset Date]],"")</f>
        <v/>
      </c>
      <c r="BD55" s="2" t="str">
        <f>IF(LL[[#This Row],[Lab-confirmed?]]="Y",LL[[#This Row],[Test Date]],"")</f>
        <v/>
      </c>
      <c r="BE55" s="2" t="str">
        <f>IF(LL[[#This Row],[Lab-confirmed?]]="Y",LL[[#This Row],[Test Date 2]],"")</f>
        <v/>
      </c>
      <c r="BF55" s="139" t="str">
        <f>IF(LL[[#This Row],[Date Reported to Public Health]]&gt;0,LL[[#This Row],[Date Reported to Public Health]],"")</f>
        <v/>
      </c>
      <c r="BG55" s="13" t="str">
        <f t="shared" si="0"/>
        <v/>
      </c>
    </row>
    <row r="56" spans="1:59" x14ac:dyDescent="0.3">
      <c r="A56" s="11">
        <v>52</v>
      </c>
      <c r="B56" s="12"/>
      <c r="C56" s="13"/>
      <c r="D56" s="12"/>
      <c r="E56" s="12"/>
      <c r="F56" s="12"/>
      <c r="G56" s="16"/>
      <c r="H56" s="12"/>
      <c r="I56" s="14"/>
      <c r="J56" s="137"/>
      <c r="K56" s="137"/>
      <c r="L56" s="18"/>
      <c r="M56" s="139"/>
      <c r="N56" s="140"/>
      <c r="O56" s="137"/>
      <c r="P56" s="137"/>
      <c r="Q56" s="15"/>
      <c r="R56" s="12"/>
      <c r="S56" s="12"/>
      <c r="T56" s="12"/>
      <c r="U56" s="14"/>
      <c r="V56" s="15"/>
      <c r="W56" s="12"/>
      <c r="X56" s="12"/>
      <c r="Y56" s="12"/>
      <c r="Z56" s="12"/>
      <c r="AA56" s="12"/>
      <c r="AB56" s="14"/>
      <c r="AC56" s="15"/>
      <c r="AD56" s="12"/>
      <c r="AE56" s="12"/>
      <c r="AF56" s="14"/>
      <c r="AG56" s="18"/>
      <c r="AH56" s="18"/>
      <c r="AI56" s="17"/>
      <c r="AJ56" s="181"/>
      <c r="AK56" s="13"/>
      <c r="AL56" s="181"/>
      <c r="AM56" s="175"/>
      <c r="AN56" s="192"/>
      <c r="AO56" s="13"/>
      <c r="AP56" s="181"/>
      <c r="AQ56" s="175"/>
      <c r="AR56" s="18"/>
      <c r="AS56" s="12"/>
      <c r="AT56" s="12"/>
      <c r="AU56" s="12"/>
      <c r="AV56" s="12"/>
      <c r="AW56" s="137"/>
      <c r="AX56" s="13"/>
      <c r="AY56" s="138"/>
      <c r="AZ56" s="140"/>
      <c r="BA56" s="18"/>
      <c r="BB56" s="18" t="e">
        <f>IF(#REF!&lt;&gt;0,IF(LL[[#This Row],[Date of Birth]]&lt;&gt;0,YEAR(#REF!-LL[[#This Row],[Date of Birth]])-1900,""),"")</f>
        <v>#REF!</v>
      </c>
      <c r="BC56" s="2" t="str">
        <f>IF(LL[[#This Row],[Sx Onset Date]]&gt;0,LL[[#This Row],[Sx Onset Date]],"")</f>
        <v/>
      </c>
      <c r="BD56" s="2" t="str">
        <f>IF(LL[[#This Row],[Lab-confirmed?]]="Y",LL[[#This Row],[Test Date]],"")</f>
        <v/>
      </c>
      <c r="BE56" s="2" t="str">
        <f>IF(LL[[#This Row],[Lab-confirmed?]]="Y",LL[[#This Row],[Test Date 2]],"")</f>
        <v/>
      </c>
      <c r="BF56" s="139" t="str">
        <f>IF(LL[[#This Row],[Date Reported to Public Health]]&gt;0,LL[[#This Row],[Date Reported to Public Health]],"")</f>
        <v/>
      </c>
      <c r="BG56" s="13" t="str">
        <f t="shared" si="0"/>
        <v/>
      </c>
    </row>
    <row r="57" spans="1:59" x14ac:dyDescent="0.3">
      <c r="A57" s="11">
        <v>53</v>
      </c>
      <c r="B57" s="12"/>
      <c r="C57" s="13"/>
      <c r="D57" s="12"/>
      <c r="E57" s="12"/>
      <c r="F57" s="12"/>
      <c r="G57" s="16"/>
      <c r="H57" s="12"/>
      <c r="I57" s="14"/>
      <c r="J57" s="137"/>
      <c r="K57" s="137"/>
      <c r="L57" s="18"/>
      <c r="M57" s="139"/>
      <c r="N57" s="140"/>
      <c r="O57" s="137"/>
      <c r="P57" s="137"/>
      <c r="Q57" s="15"/>
      <c r="R57" s="12"/>
      <c r="S57" s="12"/>
      <c r="T57" s="12"/>
      <c r="U57" s="14"/>
      <c r="V57" s="15"/>
      <c r="W57" s="12"/>
      <c r="X57" s="12"/>
      <c r="Y57" s="12"/>
      <c r="Z57" s="12"/>
      <c r="AA57" s="12"/>
      <c r="AB57" s="14"/>
      <c r="AC57" s="15"/>
      <c r="AD57" s="12"/>
      <c r="AE57" s="12"/>
      <c r="AF57" s="14"/>
      <c r="AG57" s="18"/>
      <c r="AH57" s="18"/>
      <c r="AI57" s="17"/>
      <c r="AJ57" s="181"/>
      <c r="AK57" s="13"/>
      <c r="AL57" s="181"/>
      <c r="AM57" s="175"/>
      <c r="AN57" s="192"/>
      <c r="AO57" s="13"/>
      <c r="AP57" s="181"/>
      <c r="AQ57" s="175"/>
      <c r="AR57" s="18"/>
      <c r="AS57" s="12"/>
      <c r="AT57" s="12"/>
      <c r="AU57" s="12"/>
      <c r="AV57" s="12"/>
      <c r="AW57" s="137"/>
      <c r="AX57" s="13"/>
      <c r="AY57" s="138"/>
      <c r="AZ57" s="140"/>
      <c r="BA57" s="18"/>
      <c r="BB57" s="18" t="e">
        <f>IF(#REF!&lt;&gt;0,IF(LL[[#This Row],[Date of Birth]]&lt;&gt;0,YEAR(#REF!-LL[[#This Row],[Date of Birth]])-1900,""),"")</f>
        <v>#REF!</v>
      </c>
      <c r="BC57" s="2" t="str">
        <f>IF(LL[[#This Row],[Sx Onset Date]]&gt;0,LL[[#This Row],[Sx Onset Date]],"")</f>
        <v/>
      </c>
      <c r="BD57" s="2" t="str">
        <f>IF(LL[[#This Row],[Lab-confirmed?]]="Y",LL[[#This Row],[Test Date]],"")</f>
        <v/>
      </c>
      <c r="BE57" s="2" t="str">
        <f>IF(LL[[#This Row],[Lab-confirmed?]]="Y",LL[[#This Row],[Test Date 2]],"")</f>
        <v/>
      </c>
      <c r="BF57" s="139" t="str">
        <f>IF(LL[[#This Row],[Date Reported to Public Health]]&gt;0,LL[[#This Row],[Date Reported to Public Health]],"")</f>
        <v/>
      </c>
      <c r="BG57" s="13" t="str">
        <f t="shared" si="0"/>
        <v/>
      </c>
    </row>
    <row r="58" spans="1:59" x14ac:dyDescent="0.3">
      <c r="A58" s="11">
        <v>54</v>
      </c>
      <c r="B58" s="12"/>
      <c r="C58" s="13"/>
      <c r="D58" s="12"/>
      <c r="E58" s="12"/>
      <c r="F58" s="12"/>
      <c r="G58" s="16"/>
      <c r="H58" s="12"/>
      <c r="I58" s="14"/>
      <c r="J58" s="137"/>
      <c r="K58" s="137"/>
      <c r="L58" s="18"/>
      <c r="M58" s="139"/>
      <c r="N58" s="140"/>
      <c r="O58" s="137"/>
      <c r="P58" s="137"/>
      <c r="Q58" s="15"/>
      <c r="R58" s="12"/>
      <c r="S58" s="12"/>
      <c r="T58" s="12"/>
      <c r="U58" s="14"/>
      <c r="V58" s="15"/>
      <c r="W58" s="12"/>
      <c r="X58" s="12"/>
      <c r="Y58" s="12"/>
      <c r="Z58" s="12"/>
      <c r="AA58" s="12"/>
      <c r="AB58" s="14"/>
      <c r="AC58" s="15"/>
      <c r="AD58" s="12"/>
      <c r="AE58" s="12"/>
      <c r="AF58" s="14"/>
      <c r="AG58" s="18"/>
      <c r="AH58" s="18"/>
      <c r="AI58" s="17"/>
      <c r="AJ58" s="181"/>
      <c r="AK58" s="13"/>
      <c r="AL58" s="181"/>
      <c r="AM58" s="175"/>
      <c r="AN58" s="192"/>
      <c r="AO58" s="13"/>
      <c r="AP58" s="181"/>
      <c r="AQ58" s="175"/>
      <c r="AR58" s="18"/>
      <c r="AS58" s="12"/>
      <c r="AT58" s="12"/>
      <c r="AU58" s="12"/>
      <c r="AV58" s="12"/>
      <c r="AW58" s="137"/>
      <c r="AX58" s="13"/>
      <c r="AY58" s="138"/>
      <c r="AZ58" s="140"/>
      <c r="BA58" s="18"/>
      <c r="BB58" s="18" t="e">
        <f>IF(#REF!&lt;&gt;0,IF(LL[[#This Row],[Date of Birth]]&lt;&gt;0,YEAR(#REF!-LL[[#This Row],[Date of Birth]])-1900,""),"")</f>
        <v>#REF!</v>
      </c>
      <c r="BC58" s="2" t="str">
        <f>IF(LL[[#This Row],[Sx Onset Date]]&gt;0,LL[[#This Row],[Sx Onset Date]],"")</f>
        <v/>
      </c>
      <c r="BD58" s="2" t="str">
        <f>IF(LL[[#This Row],[Lab-confirmed?]]="Y",LL[[#This Row],[Test Date]],"")</f>
        <v/>
      </c>
      <c r="BE58" s="2" t="str">
        <f>IF(LL[[#This Row],[Lab-confirmed?]]="Y",LL[[#This Row],[Test Date 2]],"")</f>
        <v/>
      </c>
      <c r="BF58" s="139" t="str">
        <f>IF(LL[[#This Row],[Date Reported to Public Health]]&gt;0,LL[[#This Row],[Date Reported to Public Health]],"")</f>
        <v/>
      </c>
      <c r="BG58" s="13" t="str">
        <f t="shared" si="0"/>
        <v/>
      </c>
    </row>
    <row r="59" spans="1:59" x14ac:dyDescent="0.3">
      <c r="A59" s="11">
        <v>55</v>
      </c>
      <c r="B59" s="12"/>
      <c r="C59" s="13"/>
      <c r="D59" s="12"/>
      <c r="E59" s="12"/>
      <c r="F59" s="12"/>
      <c r="G59" s="16"/>
      <c r="H59" s="12"/>
      <c r="I59" s="14"/>
      <c r="J59" s="137"/>
      <c r="K59" s="137"/>
      <c r="L59" s="18"/>
      <c r="M59" s="139"/>
      <c r="N59" s="140"/>
      <c r="O59" s="137"/>
      <c r="P59" s="137"/>
      <c r="Q59" s="15"/>
      <c r="R59" s="12"/>
      <c r="S59" s="12"/>
      <c r="T59" s="12"/>
      <c r="U59" s="14"/>
      <c r="V59" s="15"/>
      <c r="W59" s="12"/>
      <c r="X59" s="12"/>
      <c r="Y59" s="12"/>
      <c r="Z59" s="12"/>
      <c r="AA59" s="12"/>
      <c r="AB59" s="14"/>
      <c r="AC59" s="15"/>
      <c r="AD59" s="12"/>
      <c r="AE59" s="12"/>
      <c r="AF59" s="14"/>
      <c r="AG59" s="18"/>
      <c r="AH59" s="18"/>
      <c r="AI59" s="17"/>
      <c r="AJ59" s="181"/>
      <c r="AK59" s="13"/>
      <c r="AL59" s="181"/>
      <c r="AM59" s="175"/>
      <c r="AN59" s="192"/>
      <c r="AO59" s="13"/>
      <c r="AP59" s="181"/>
      <c r="AQ59" s="175"/>
      <c r="AR59" s="18"/>
      <c r="AS59" s="12"/>
      <c r="AT59" s="12"/>
      <c r="AU59" s="12"/>
      <c r="AV59" s="12"/>
      <c r="AW59" s="137"/>
      <c r="AX59" s="13"/>
      <c r="AY59" s="138"/>
      <c r="AZ59" s="140"/>
      <c r="BA59" s="18"/>
      <c r="BB59" s="18" t="e">
        <f>IF(#REF!&lt;&gt;0,IF(LL[[#This Row],[Date of Birth]]&lt;&gt;0,YEAR(#REF!-LL[[#This Row],[Date of Birth]])-1900,""),"")</f>
        <v>#REF!</v>
      </c>
      <c r="BC59" s="2" t="str">
        <f>IF(LL[[#This Row],[Sx Onset Date]]&gt;0,LL[[#This Row],[Sx Onset Date]],"")</f>
        <v/>
      </c>
      <c r="BD59" s="2" t="str">
        <f>IF(LL[[#This Row],[Lab-confirmed?]]="Y",LL[[#This Row],[Test Date]],"")</f>
        <v/>
      </c>
      <c r="BE59" s="2" t="str">
        <f>IF(LL[[#This Row],[Lab-confirmed?]]="Y",LL[[#This Row],[Test Date 2]],"")</f>
        <v/>
      </c>
      <c r="BF59" s="139" t="str">
        <f>IF(LL[[#This Row],[Date Reported to Public Health]]&gt;0,LL[[#This Row],[Date Reported to Public Health]],"")</f>
        <v/>
      </c>
      <c r="BG59" s="13" t="str">
        <f t="shared" si="0"/>
        <v/>
      </c>
    </row>
    <row r="60" spans="1:59" x14ac:dyDescent="0.3">
      <c r="A60" s="11">
        <v>56</v>
      </c>
      <c r="B60" s="12"/>
      <c r="C60" s="13"/>
      <c r="D60" s="12"/>
      <c r="E60" s="12"/>
      <c r="F60" s="12"/>
      <c r="G60" s="16"/>
      <c r="H60" s="12"/>
      <c r="I60" s="14"/>
      <c r="J60" s="137"/>
      <c r="K60" s="137"/>
      <c r="L60" s="18"/>
      <c r="M60" s="139"/>
      <c r="N60" s="140"/>
      <c r="O60" s="137"/>
      <c r="P60" s="137"/>
      <c r="Q60" s="15"/>
      <c r="R60" s="12"/>
      <c r="S60" s="12"/>
      <c r="T60" s="12"/>
      <c r="U60" s="14"/>
      <c r="V60" s="15"/>
      <c r="W60" s="12"/>
      <c r="X60" s="12"/>
      <c r="Y60" s="12"/>
      <c r="Z60" s="12"/>
      <c r="AA60" s="12"/>
      <c r="AB60" s="14"/>
      <c r="AC60" s="15"/>
      <c r="AD60" s="12"/>
      <c r="AE60" s="12"/>
      <c r="AF60" s="14"/>
      <c r="AG60" s="18"/>
      <c r="AH60" s="18"/>
      <c r="AI60" s="17"/>
      <c r="AJ60" s="181"/>
      <c r="AK60" s="13"/>
      <c r="AL60" s="181"/>
      <c r="AM60" s="175"/>
      <c r="AN60" s="192"/>
      <c r="AO60" s="13"/>
      <c r="AP60" s="181"/>
      <c r="AQ60" s="175"/>
      <c r="AR60" s="18"/>
      <c r="AS60" s="12"/>
      <c r="AT60" s="12"/>
      <c r="AU60" s="12"/>
      <c r="AV60" s="12"/>
      <c r="AW60" s="137"/>
      <c r="AX60" s="13"/>
      <c r="AY60" s="138"/>
      <c r="AZ60" s="140"/>
      <c r="BA60" s="18"/>
      <c r="BB60" s="18" t="e">
        <f>IF(#REF!&lt;&gt;0,IF(LL[[#This Row],[Date of Birth]]&lt;&gt;0,YEAR(#REF!-LL[[#This Row],[Date of Birth]])-1900,""),"")</f>
        <v>#REF!</v>
      </c>
      <c r="BC60" s="2" t="str">
        <f>IF(LL[[#This Row],[Sx Onset Date]]&gt;0,LL[[#This Row],[Sx Onset Date]],"")</f>
        <v/>
      </c>
      <c r="BD60" s="2" t="str">
        <f>IF(LL[[#This Row],[Lab-confirmed?]]="Y",LL[[#This Row],[Test Date]],"")</f>
        <v/>
      </c>
      <c r="BE60" s="2" t="str">
        <f>IF(LL[[#This Row],[Lab-confirmed?]]="Y",LL[[#This Row],[Test Date 2]],"")</f>
        <v/>
      </c>
      <c r="BF60" s="139" t="str">
        <f>IF(LL[[#This Row],[Date Reported to Public Health]]&gt;0,LL[[#This Row],[Date Reported to Public Health]],"")</f>
        <v/>
      </c>
      <c r="BG60" s="13" t="str">
        <f t="shared" si="0"/>
        <v/>
      </c>
    </row>
    <row r="61" spans="1:59" x14ac:dyDescent="0.3">
      <c r="A61" s="11">
        <v>57</v>
      </c>
      <c r="B61" s="12"/>
      <c r="C61" s="13"/>
      <c r="D61" s="12"/>
      <c r="E61" s="12"/>
      <c r="F61" s="12"/>
      <c r="G61" s="16"/>
      <c r="H61" s="12"/>
      <c r="I61" s="14"/>
      <c r="J61" s="137"/>
      <c r="K61" s="137"/>
      <c r="L61" s="18"/>
      <c r="M61" s="139"/>
      <c r="N61" s="140"/>
      <c r="O61" s="137"/>
      <c r="P61" s="137"/>
      <c r="Q61" s="15"/>
      <c r="R61" s="12"/>
      <c r="S61" s="12"/>
      <c r="T61" s="12"/>
      <c r="U61" s="14"/>
      <c r="V61" s="15"/>
      <c r="W61" s="12"/>
      <c r="X61" s="12"/>
      <c r="Y61" s="12"/>
      <c r="Z61" s="12"/>
      <c r="AA61" s="12"/>
      <c r="AB61" s="14"/>
      <c r="AC61" s="15"/>
      <c r="AD61" s="12"/>
      <c r="AE61" s="12"/>
      <c r="AF61" s="14"/>
      <c r="AG61" s="18"/>
      <c r="AH61" s="18"/>
      <c r="AI61" s="17"/>
      <c r="AJ61" s="181"/>
      <c r="AK61" s="13"/>
      <c r="AL61" s="181"/>
      <c r="AM61" s="175"/>
      <c r="AN61" s="192"/>
      <c r="AO61" s="13"/>
      <c r="AP61" s="181"/>
      <c r="AQ61" s="175"/>
      <c r="AR61" s="18"/>
      <c r="AS61" s="12"/>
      <c r="AT61" s="12"/>
      <c r="AU61" s="12"/>
      <c r="AV61" s="12"/>
      <c r="AW61" s="137"/>
      <c r="AX61" s="13"/>
      <c r="AY61" s="138"/>
      <c r="AZ61" s="140"/>
      <c r="BA61" s="18"/>
      <c r="BB61" s="18" t="e">
        <f>IF(#REF!&lt;&gt;0,IF(LL[[#This Row],[Date of Birth]]&lt;&gt;0,YEAR(#REF!-LL[[#This Row],[Date of Birth]])-1900,""),"")</f>
        <v>#REF!</v>
      </c>
      <c r="BC61" s="2" t="str">
        <f>IF(LL[[#This Row],[Sx Onset Date]]&gt;0,LL[[#This Row],[Sx Onset Date]],"")</f>
        <v/>
      </c>
      <c r="BD61" s="2" t="str">
        <f>IF(LL[[#This Row],[Lab-confirmed?]]="Y",LL[[#This Row],[Test Date]],"")</f>
        <v/>
      </c>
      <c r="BE61" s="2" t="str">
        <f>IF(LL[[#This Row],[Lab-confirmed?]]="Y",LL[[#This Row],[Test Date 2]],"")</f>
        <v/>
      </c>
      <c r="BF61" s="139" t="str">
        <f>IF(LL[[#This Row],[Date Reported to Public Health]]&gt;0,LL[[#This Row],[Date Reported to Public Health]],"")</f>
        <v/>
      </c>
      <c r="BG61" s="13" t="str">
        <f t="shared" si="0"/>
        <v/>
      </c>
    </row>
    <row r="62" spans="1:59" x14ac:dyDescent="0.3">
      <c r="A62" s="11">
        <v>58</v>
      </c>
      <c r="B62" s="12"/>
      <c r="C62" s="13"/>
      <c r="D62" s="12"/>
      <c r="E62" s="12"/>
      <c r="F62" s="12"/>
      <c r="G62" s="16"/>
      <c r="H62" s="12"/>
      <c r="I62" s="14"/>
      <c r="J62" s="137"/>
      <c r="K62" s="137"/>
      <c r="L62" s="18"/>
      <c r="M62" s="139"/>
      <c r="N62" s="140"/>
      <c r="O62" s="137"/>
      <c r="P62" s="137"/>
      <c r="Q62" s="15"/>
      <c r="R62" s="12"/>
      <c r="S62" s="12"/>
      <c r="T62" s="12"/>
      <c r="U62" s="14"/>
      <c r="V62" s="15"/>
      <c r="W62" s="12"/>
      <c r="X62" s="12"/>
      <c r="Y62" s="12"/>
      <c r="Z62" s="12"/>
      <c r="AA62" s="12"/>
      <c r="AB62" s="14"/>
      <c r="AC62" s="15"/>
      <c r="AD62" s="12"/>
      <c r="AE62" s="12"/>
      <c r="AF62" s="14"/>
      <c r="AG62" s="18"/>
      <c r="AH62" s="18"/>
      <c r="AI62" s="17"/>
      <c r="AJ62" s="181"/>
      <c r="AK62" s="13"/>
      <c r="AL62" s="181"/>
      <c r="AM62" s="175"/>
      <c r="AN62" s="192"/>
      <c r="AO62" s="13"/>
      <c r="AP62" s="181"/>
      <c r="AQ62" s="175"/>
      <c r="AR62" s="18"/>
      <c r="AS62" s="12"/>
      <c r="AT62" s="12"/>
      <c r="AU62" s="12"/>
      <c r="AV62" s="12"/>
      <c r="AW62" s="137"/>
      <c r="AX62" s="13"/>
      <c r="AY62" s="138"/>
      <c r="AZ62" s="140"/>
      <c r="BA62" s="18"/>
      <c r="BB62" s="18" t="e">
        <f>IF(#REF!&lt;&gt;0,IF(LL[[#This Row],[Date of Birth]]&lt;&gt;0,YEAR(#REF!-LL[[#This Row],[Date of Birth]])-1900,""),"")</f>
        <v>#REF!</v>
      </c>
      <c r="BC62" s="2" t="str">
        <f>IF(LL[[#This Row],[Sx Onset Date]]&gt;0,LL[[#This Row],[Sx Onset Date]],"")</f>
        <v/>
      </c>
      <c r="BD62" s="2" t="str">
        <f>IF(LL[[#This Row],[Lab-confirmed?]]="Y",LL[[#This Row],[Test Date]],"")</f>
        <v/>
      </c>
      <c r="BE62" s="2" t="str">
        <f>IF(LL[[#This Row],[Lab-confirmed?]]="Y",LL[[#This Row],[Test Date 2]],"")</f>
        <v/>
      </c>
      <c r="BF62" s="139" t="str">
        <f>IF(LL[[#This Row],[Date Reported to Public Health]]&gt;0,LL[[#This Row],[Date Reported to Public Health]],"")</f>
        <v/>
      </c>
      <c r="BG62" s="13" t="str">
        <f t="shared" si="0"/>
        <v/>
      </c>
    </row>
    <row r="63" spans="1:59" x14ac:dyDescent="0.3">
      <c r="A63" s="11">
        <v>59</v>
      </c>
      <c r="B63" s="12"/>
      <c r="C63" s="13"/>
      <c r="D63" s="12"/>
      <c r="E63" s="12"/>
      <c r="F63" s="12"/>
      <c r="G63" s="16"/>
      <c r="H63" s="12"/>
      <c r="I63" s="14"/>
      <c r="J63" s="137"/>
      <c r="K63" s="137"/>
      <c r="L63" s="18"/>
      <c r="M63" s="139"/>
      <c r="N63" s="140"/>
      <c r="O63" s="137"/>
      <c r="P63" s="137"/>
      <c r="Q63" s="15"/>
      <c r="R63" s="12"/>
      <c r="S63" s="12"/>
      <c r="T63" s="12"/>
      <c r="U63" s="14"/>
      <c r="V63" s="15"/>
      <c r="W63" s="12"/>
      <c r="X63" s="12"/>
      <c r="Y63" s="12"/>
      <c r="Z63" s="12"/>
      <c r="AA63" s="12"/>
      <c r="AB63" s="14"/>
      <c r="AC63" s="15"/>
      <c r="AD63" s="12"/>
      <c r="AE63" s="12"/>
      <c r="AF63" s="14"/>
      <c r="AG63" s="18"/>
      <c r="AH63" s="18"/>
      <c r="AI63" s="17"/>
      <c r="AJ63" s="181"/>
      <c r="AK63" s="13"/>
      <c r="AL63" s="181"/>
      <c r="AM63" s="175"/>
      <c r="AN63" s="192"/>
      <c r="AO63" s="13"/>
      <c r="AP63" s="181"/>
      <c r="AQ63" s="175"/>
      <c r="AR63" s="18"/>
      <c r="AS63" s="12"/>
      <c r="AT63" s="12"/>
      <c r="AU63" s="12"/>
      <c r="AV63" s="12"/>
      <c r="AW63" s="137"/>
      <c r="AX63" s="13"/>
      <c r="AY63" s="138"/>
      <c r="AZ63" s="140"/>
      <c r="BA63" s="18"/>
      <c r="BB63" s="18" t="e">
        <f>IF(#REF!&lt;&gt;0,IF(LL[[#This Row],[Date of Birth]]&lt;&gt;0,YEAR(#REF!-LL[[#This Row],[Date of Birth]])-1900,""),"")</f>
        <v>#REF!</v>
      </c>
      <c r="BC63" s="2" t="str">
        <f>IF(LL[[#This Row],[Sx Onset Date]]&gt;0,LL[[#This Row],[Sx Onset Date]],"")</f>
        <v/>
      </c>
      <c r="BD63" s="2" t="str">
        <f>IF(LL[[#This Row],[Lab-confirmed?]]="Y",LL[[#This Row],[Test Date]],"")</f>
        <v/>
      </c>
      <c r="BE63" s="2" t="str">
        <f>IF(LL[[#This Row],[Lab-confirmed?]]="Y",LL[[#This Row],[Test Date 2]],"")</f>
        <v/>
      </c>
      <c r="BF63" s="139" t="str">
        <f>IF(LL[[#This Row],[Date Reported to Public Health]]&gt;0,LL[[#This Row],[Date Reported to Public Health]],"")</f>
        <v/>
      </c>
      <c r="BG63" s="13" t="str">
        <f t="shared" si="0"/>
        <v/>
      </c>
    </row>
    <row r="64" spans="1:59" x14ac:dyDescent="0.3">
      <c r="A64" s="11">
        <v>60</v>
      </c>
      <c r="B64" s="12"/>
      <c r="C64" s="13"/>
      <c r="D64" s="12"/>
      <c r="E64" s="12"/>
      <c r="F64" s="12"/>
      <c r="G64" s="16"/>
      <c r="H64" s="12"/>
      <c r="I64" s="14"/>
      <c r="J64" s="137"/>
      <c r="K64" s="137"/>
      <c r="L64" s="18"/>
      <c r="M64" s="139"/>
      <c r="N64" s="140"/>
      <c r="O64" s="137"/>
      <c r="P64" s="137"/>
      <c r="Q64" s="15"/>
      <c r="R64" s="12"/>
      <c r="S64" s="12"/>
      <c r="T64" s="12"/>
      <c r="U64" s="14"/>
      <c r="V64" s="15"/>
      <c r="W64" s="12"/>
      <c r="X64" s="12"/>
      <c r="Y64" s="12"/>
      <c r="Z64" s="12"/>
      <c r="AA64" s="12"/>
      <c r="AB64" s="14"/>
      <c r="AC64" s="15"/>
      <c r="AD64" s="12"/>
      <c r="AE64" s="12"/>
      <c r="AF64" s="14"/>
      <c r="AG64" s="18"/>
      <c r="AH64" s="18"/>
      <c r="AI64" s="17"/>
      <c r="AJ64" s="181"/>
      <c r="AK64" s="13"/>
      <c r="AL64" s="181"/>
      <c r="AM64" s="175"/>
      <c r="AN64" s="192"/>
      <c r="AO64" s="13"/>
      <c r="AP64" s="181"/>
      <c r="AQ64" s="175"/>
      <c r="AR64" s="18"/>
      <c r="AS64" s="12"/>
      <c r="AT64" s="12"/>
      <c r="AU64" s="12"/>
      <c r="AV64" s="12"/>
      <c r="AW64" s="137"/>
      <c r="AX64" s="13"/>
      <c r="AY64" s="138"/>
      <c r="AZ64" s="140"/>
      <c r="BA64" s="18"/>
      <c r="BB64" s="18" t="e">
        <f>IF(#REF!&lt;&gt;0,IF(LL[[#This Row],[Date of Birth]]&lt;&gt;0,YEAR(#REF!-LL[[#This Row],[Date of Birth]])-1900,""),"")</f>
        <v>#REF!</v>
      </c>
      <c r="BC64" s="2" t="str">
        <f>IF(LL[[#This Row],[Sx Onset Date]]&gt;0,LL[[#This Row],[Sx Onset Date]],"")</f>
        <v/>
      </c>
      <c r="BD64" s="2" t="str">
        <f>IF(LL[[#This Row],[Lab-confirmed?]]="Y",LL[[#This Row],[Test Date]],"")</f>
        <v/>
      </c>
      <c r="BE64" s="2" t="str">
        <f>IF(LL[[#This Row],[Lab-confirmed?]]="Y",LL[[#This Row],[Test Date 2]],"")</f>
        <v/>
      </c>
      <c r="BF64" s="139" t="str">
        <f>IF(LL[[#This Row],[Date Reported to Public Health]]&gt;0,LL[[#This Row],[Date Reported to Public Health]],"")</f>
        <v/>
      </c>
      <c r="BG64" s="13" t="str">
        <f t="shared" si="0"/>
        <v/>
      </c>
    </row>
    <row r="65" spans="1:59" x14ac:dyDescent="0.3">
      <c r="A65" s="11">
        <v>61</v>
      </c>
      <c r="B65" s="12"/>
      <c r="C65" s="13"/>
      <c r="D65" s="12"/>
      <c r="E65" s="12"/>
      <c r="F65" s="12"/>
      <c r="G65" s="16"/>
      <c r="H65" s="12"/>
      <c r="I65" s="14"/>
      <c r="J65" s="137"/>
      <c r="K65" s="137"/>
      <c r="L65" s="18"/>
      <c r="M65" s="139"/>
      <c r="N65" s="140"/>
      <c r="O65" s="137"/>
      <c r="P65" s="137"/>
      <c r="Q65" s="15"/>
      <c r="R65" s="12"/>
      <c r="S65" s="12"/>
      <c r="T65" s="12"/>
      <c r="U65" s="14"/>
      <c r="V65" s="15"/>
      <c r="W65" s="12"/>
      <c r="X65" s="12"/>
      <c r="Y65" s="12"/>
      <c r="Z65" s="12"/>
      <c r="AA65" s="12"/>
      <c r="AB65" s="14"/>
      <c r="AC65" s="15"/>
      <c r="AD65" s="12"/>
      <c r="AE65" s="12"/>
      <c r="AF65" s="14"/>
      <c r="AG65" s="18"/>
      <c r="AH65" s="18"/>
      <c r="AI65" s="17"/>
      <c r="AJ65" s="181"/>
      <c r="AK65" s="13"/>
      <c r="AL65" s="181"/>
      <c r="AM65" s="175"/>
      <c r="AN65" s="192"/>
      <c r="AO65" s="13"/>
      <c r="AP65" s="181"/>
      <c r="AQ65" s="175"/>
      <c r="AR65" s="18"/>
      <c r="AS65" s="12"/>
      <c r="AT65" s="12"/>
      <c r="AU65" s="12"/>
      <c r="AV65" s="12"/>
      <c r="AW65" s="137"/>
      <c r="AX65" s="13"/>
      <c r="AY65" s="138"/>
      <c r="AZ65" s="140"/>
      <c r="BA65" s="18"/>
      <c r="BB65" s="18" t="e">
        <f>IF(#REF!&lt;&gt;0,IF(LL[[#This Row],[Date of Birth]]&lt;&gt;0,YEAR(#REF!-LL[[#This Row],[Date of Birth]])-1900,""),"")</f>
        <v>#REF!</v>
      </c>
      <c r="BC65" s="2" t="str">
        <f>IF(LL[[#This Row],[Sx Onset Date]]&gt;0,LL[[#This Row],[Sx Onset Date]],"")</f>
        <v/>
      </c>
      <c r="BD65" s="2" t="str">
        <f>IF(LL[[#This Row],[Lab-confirmed?]]="Y",LL[[#This Row],[Test Date]],"")</f>
        <v/>
      </c>
      <c r="BE65" s="2" t="str">
        <f>IF(LL[[#This Row],[Lab-confirmed?]]="Y",LL[[#This Row],[Test Date 2]],"")</f>
        <v/>
      </c>
      <c r="BF65" s="139" t="str">
        <f>IF(LL[[#This Row],[Date Reported to Public Health]]&gt;0,LL[[#This Row],[Date Reported to Public Health]],"")</f>
        <v/>
      </c>
      <c r="BG65" s="13" t="str">
        <f t="shared" si="0"/>
        <v/>
      </c>
    </row>
    <row r="66" spans="1:59" x14ac:dyDescent="0.3">
      <c r="A66" s="11">
        <v>62</v>
      </c>
      <c r="B66" s="12"/>
      <c r="C66" s="13"/>
      <c r="D66" s="12"/>
      <c r="E66" s="12"/>
      <c r="F66" s="12"/>
      <c r="G66" s="16"/>
      <c r="H66" s="12"/>
      <c r="I66" s="14"/>
      <c r="J66" s="137"/>
      <c r="K66" s="137"/>
      <c r="L66" s="18"/>
      <c r="M66" s="139"/>
      <c r="N66" s="140"/>
      <c r="O66" s="137"/>
      <c r="P66" s="137"/>
      <c r="Q66" s="15"/>
      <c r="R66" s="12"/>
      <c r="S66" s="12"/>
      <c r="T66" s="12"/>
      <c r="U66" s="14"/>
      <c r="V66" s="15"/>
      <c r="W66" s="12"/>
      <c r="X66" s="12"/>
      <c r="Y66" s="12"/>
      <c r="Z66" s="12"/>
      <c r="AA66" s="12"/>
      <c r="AB66" s="14"/>
      <c r="AC66" s="15"/>
      <c r="AD66" s="12"/>
      <c r="AE66" s="12"/>
      <c r="AF66" s="14"/>
      <c r="AG66" s="18"/>
      <c r="AH66" s="18"/>
      <c r="AI66" s="17"/>
      <c r="AJ66" s="181"/>
      <c r="AK66" s="13"/>
      <c r="AL66" s="181"/>
      <c r="AM66" s="175"/>
      <c r="AN66" s="192"/>
      <c r="AO66" s="13"/>
      <c r="AP66" s="181"/>
      <c r="AQ66" s="175"/>
      <c r="AR66" s="18"/>
      <c r="AS66" s="12"/>
      <c r="AT66" s="12"/>
      <c r="AU66" s="12"/>
      <c r="AV66" s="12"/>
      <c r="AW66" s="137"/>
      <c r="AX66" s="13"/>
      <c r="AY66" s="138"/>
      <c r="AZ66" s="140"/>
      <c r="BA66" s="18"/>
      <c r="BB66" s="18" t="e">
        <f>IF(#REF!&lt;&gt;0,IF(LL[[#This Row],[Date of Birth]]&lt;&gt;0,YEAR(#REF!-LL[[#This Row],[Date of Birth]])-1900,""),"")</f>
        <v>#REF!</v>
      </c>
      <c r="BC66" s="2" t="str">
        <f>IF(LL[[#This Row],[Sx Onset Date]]&gt;0,LL[[#This Row],[Sx Onset Date]],"")</f>
        <v/>
      </c>
      <c r="BD66" s="2" t="str">
        <f>IF(LL[[#This Row],[Lab-confirmed?]]="Y",LL[[#This Row],[Test Date]],"")</f>
        <v/>
      </c>
      <c r="BE66" s="2" t="str">
        <f>IF(LL[[#This Row],[Lab-confirmed?]]="Y",LL[[#This Row],[Test Date 2]],"")</f>
        <v/>
      </c>
      <c r="BF66" s="139" t="str">
        <f>IF(LL[[#This Row],[Date Reported to Public Health]]&gt;0,LL[[#This Row],[Date Reported to Public Health]],"")</f>
        <v/>
      </c>
      <c r="BG66" s="13" t="str">
        <f t="shared" si="0"/>
        <v/>
      </c>
    </row>
    <row r="67" spans="1:59" x14ac:dyDescent="0.3">
      <c r="A67" s="11">
        <v>63</v>
      </c>
      <c r="B67" s="12"/>
      <c r="C67" s="13"/>
      <c r="D67" s="12"/>
      <c r="E67" s="12"/>
      <c r="F67" s="12"/>
      <c r="G67" s="16"/>
      <c r="H67" s="12"/>
      <c r="I67" s="14"/>
      <c r="J67" s="137"/>
      <c r="K67" s="137"/>
      <c r="L67" s="18"/>
      <c r="M67" s="139"/>
      <c r="N67" s="140"/>
      <c r="O67" s="137"/>
      <c r="P67" s="137"/>
      <c r="Q67" s="15"/>
      <c r="R67" s="12"/>
      <c r="S67" s="12"/>
      <c r="T67" s="12"/>
      <c r="U67" s="14"/>
      <c r="V67" s="15"/>
      <c r="W67" s="12"/>
      <c r="X67" s="12"/>
      <c r="Y67" s="12"/>
      <c r="Z67" s="12"/>
      <c r="AA67" s="12"/>
      <c r="AB67" s="14"/>
      <c r="AC67" s="15"/>
      <c r="AD67" s="12"/>
      <c r="AE67" s="12"/>
      <c r="AF67" s="14"/>
      <c r="AG67" s="18"/>
      <c r="AH67" s="18"/>
      <c r="AI67" s="17"/>
      <c r="AJ67" s="181"/>
      <c r="AK67" s="13"/>
      <c r="AL67" s="181"/>
      <c r="AM67" s="175"/>
      <c r="AN67" s="192"/>
      <c r="AO67" s="13"/>
      <c r="AP67" s="181"/>
      <c r="AQ67" s="175"/>
      <c r="AR67" s="18"/>
      <c r="AS67" s="12"/>
      <c r="AT67" s="12"/>
      <c r="AU67" s="12"/>
      <c r="AV67" s="12"/>
      <c r="AW67" s="137"/>
      <c r="AX67" s="13"/>
      <c r="AY67" s="138"/>
      <c r="AZ67" s="140"/>
      <c r="BA67" s="18"/>
      <c r="BB67" s="18" t="e">
        <f>IF(#REF!&lt;&gt;0,IF(LL[[#This Row],[Date of Birth]]&lt;&gt;0,YEAR(#REF!-LL[[#This Row],[Date of Birth]])-1900,""),"")</f>
        <v>#REF!</v>
      </c>
      <c r="BC67" s="2" t="str">
        <f>IF(LL[[#This Row],[Sx Onset Date]]&gt;0,LL[[#This Row],[Sx Onset Date]],"")</f>
        <v/>
      </c>
      <c r="BD67" s="2" t="str">
        <f>IF(LL[[#This Row],[Lab-confirmed?]]="Y",LL[[#This Row],[Test Date]],"")</f>
        <v/>
      </c>
      <c r="BE67" s="2" t="str">
        <f>IF(LL[[#This Row],[Lab-confirmed?]]="Y",LL[[#This Row],[Test Date 2]],"")</f>
        <v/>
      </c>
      <c r="BF67" s="139" t="str">
        <f>IF(LL[[#This Row],[Date Reported to Public Health]]&gt;0,LL[[#This Row],[Date Reported to Public Health]],"")</f>
        <v/>
      </c>
      <c r="BG67" s="13" t="str">
        <f t="shared" si="0"/>
        <v/>
      </c>
    </row>
    <row r="68" spans="1:59" x14ac:dyDescent="0.3">
      <c r="A68" s="11">
        <v>64</v>
      </c>
      <c r="B68" s="12"/>
      <c r="C68" s="13"/>
      <c r="D68" s="12"/>
      <c r="E68" s="12"/>
      <c r="F68" s="12"/>
      <c r="G68" s="16"/>
      <c r="H68" s="12"/>
      <c r="I68" s="14"/>
      <c r="J68" s="137"/>
      <c r="K68" s="137"/>
      <c r="L68" s="18"/>
      <c r="M68" s="139"/>
      <c r="N68" s="140"/>
      <c r="O68" s="137"/>
      <c r="P68" s="137"/>
      <c r="Q68" s="15"/>
      <c r="R68" s="12"/>
      <c r="S68" s="12"/>
      <c r="T68" s="12"/>
      <c r="U68" s="14"/>
      <c r="V68" s="15"/>
      <c r="W68" s="12"/>
      <c r="X68" s="12"/>
      <c r="Y68" s="12"/>
      <c r="Z68" s="12"/>
      <c r="AA68" s="12"/>
      <c r="AB68" s="14"/>
      <c r="AC68" s="15"/>
      <c r="AD68" s="12"/>
      <c r="AE68" s="12"/>
      <c r="AF68" s="14"/>
      <c r="AG68" s="18"/>
      <c r="AH68" s="18"/>
      <c r="AI68" s="17"/>
      <c r="AJ68" s="181"/>
      <c r="AK68" s="13"/>
      <c r="AL68" s="181"/>
      <c r="AM68" s="175"/>
      <c r="AN68" s="192"/>
      <c r="AO68" s="13"/>
      <c r="AP68" s="181"/>
      <c r="AQ68" s="175"/>
      <c r="AR68" s="18"/>
      <c r="AS68" s="12"/>
      <c r="AT68" s="12"/>
      <c r="AU68" s="12"/>
      <c r="AV68" s="12"/>
      <c r="AW68" s="137"/>
      <c r="AX68" s="13"/>
      <c r="AY68" s="138"/>
      <c r="AZ68" s="140"/>
      <c r="BA68" s="18"/>
      <c r="BB68" s="18" t="e">
        <f>IF(#REF!&lt;&gt;0,IF(LL[[#This Row],[Date of Birth]]&lt;&gt;0,YEAR(#REF!-LL[[#This Row],[Date of Birth]])-1900,""),"")</f>
        <v>#REF!</v>
      </c>
      <c r="BC68" s="2" t="str">
        <f>IF(LL[[#This Row],[Sx Onset Date]]&gt;0,LL[[#This Row],[Sx Onset Date]],"")</f>
        <v/>
      </c>
      <c r="BD68" s="2" t="str">
        <f>IF(LL[[#This Row],[Lab-confirmed?]]="Y",LL[[#This Row],[Test Date]],"")</f>
        <v/>
      </c>
      <c r="BE68" s="2" t="str">
        <f>IF(LL[[#This Row],[Lab-confirmed?]]="Y",LL[[#This Row],[Test Date 2]],"")</f>
        <v/>
      </c>
      <c r="BF68" s="139" t="str">
        <f>IF(LL[[#This Row],[Date Reported to Public Health]]&gt;0,LL[[#This Row],[Date Reported to Public Health]],"")</f>
        <v/>
      </c>
      <c r="BG68" s="13" t="str">
        <f t="shared" si="0"/>
        <v/>
      </c>
    </row>
    <row r="69" spans="1:59" x14ac:dyDescent="0.3">
      <c r="A69" s="11">
        <v>65</v>
      </c>
      <c r="B69" s="12"/>
      <c r="C69" s="13"/>
      <c r="D69" s="12"/>
      <c r="E69" s="12"/>
      <c r="F69" s="12"/>
      <c r="G69" s="16"/>
      <c r="H69" s="12"/>
      <c r="I69" s="14"/>
      <c r="J69" s="137"/>
      <c r="K69" s="137"/>
      <c r="L69" s="18"/>
      <c r="M69" s="139"/>
      <c r="N69" s="140"/>
      <c r="O69" s="137"/>
      <c r="P69" s="137"/>
      <c r="Q69" s="15"/>
      <c r="R69" s="12"/>
      <c r="S69" s="12"/>
      <c r="T69" s="12"/>
      <c r="U69" s="14"/>
      <c r="V69" s="15"/>
      <c r="W69" s="12"/>
      <c r="X69" s="12"/>
      <c r="Y69" s="12"/>
      <c r="Z69" s="12"/>
      <c r="AA69" s="12"/>
      <c r="AB69" s="14"/>
      <c r="AC69" s="15"/>
      <c r="AD69" s="12"/>
      <c r="AE69" s="12"/>
      <c r="AF69" s="14"/>
      <c r="AG69" s="18"/>
      <c r="AH69" s="18"/>
      <c r="AI69" s="17"/>
      <c r="AJ69" s="181"/>
      <c r="AK69" s="13"/>
      <c r="AL69" s="181"/>
      <c r="AM69" s="175"/>
      <c r="AN69" s="192"/>
      <c r="AO69" s="13"/>
      <c r="AP69" s="181"/>
      <c r="AQ69" s="175"/>
      <c r="AR69" s="18"/>
      <c r="AS69" s="12"/>
      <c r="AT69" s="12"/>
      <c r="AU69" s="12"/>
      <c r="AV69" s="12"/>
      <c r="AW69" s="137"/>
      <c r="AX69" s="13"/>
      <c r="AY69" s="138"/>
      <c r="AZ69" s="140"/>
      <c r="BA69" s="18"/>
      <c r="BB69" s="18" t="e">
        <f>IF(#REF!&lt;&gt;0,IF(LL[[#This Row],[Date of Birth]]&lt;&gt;0,YEAR(#REF!-LL[[#This Row],[Date of Birth]])-1900,""),"")</f>
        <v>#REF!</v>
      </c>
      <c r="BC69" s="2" t="str">
        <f>IF(LL[[#This Row],[Sx Onset Date]]&gt;0,LL[[#This Row],[Sx Onset Date]],"")</f>
        <v/>
      </c>
      <c r="BD69" s="2" t="str">
        <f>IF(LL[[#This Row],[Lab-confirmed?]]="Y",LL[[#This Row],[Test Date]],"")</f>
        <v/>
      </c>
      <c r="BE69" s="2" t="str">
        <f>IF(LL[[#This Row],[Lab-confirmed?]]="Y",LL[[#This Row],[Test Date 2]],"")</f>
        <v/>
      </c>
      <c r="BF69" s="139" t="str">
        <f>IF(LL[[#This Row],[Date Reported to Public Health]]&gt;0,LL[[#This Row],[Date Reported to Public Health]],"")</f>
        <v/>
      </c>
      <c r="BG69" s="13" t="str">
        <f t="shared" ref="BG69:BG132" si="1">IF(_xlfn.MINIFS(BC69:BF69,BC69:BF69,"&gt;"&amp;0)&gt;0,_xlfn.MINIFS(BC69:BF69,BC69:BF69,"&gt;"&amp;0),"")</f>
        <v/>
      </c>
    </row>
    <row r="70" spans="1:59" x14ac:dyDescent="0.3">
      <c r="A70" s="11">
        <v>66</v>
      </c>
      <c r="B70" s="12"/>
      <c r="C70" s="13"/>
      <c r="D70" s="12"/>
      <c r="E70" s="12"/>
      <c r="F70" s="12"/>
      <c r="G70" s="16"/>
      <c r="H70" s="12"/>
      <c r="I70" s="14"/>
      <c r="J70" s="137"/>
      <c r="K70" s="137"/>
      <c r="L70" s="18"/>
      <c r="M70" s="139"/>
      <c r="N70" s="140"/>
      <c r="O70" s="137"/>
      <c r="P70" s="137"/>
      <c r="Q70" s="15"/>
      <c r="R70" s="12"/>
      <c r="S70" s="12"/>
      <c r="T70" s="12"/>
      <c r="U70" s="14"/>
      <c r="V70" s="15"/>
      <c r="W70" s="12"/>
      <c r="X70" s="12"/>
      <c r="Y70" s="12"/>
      <c r="Z70" s="12"/>
      <c r="AA70" s="12"/>
      <c r="AB70" s="14"/>
      <c r="AC70" s="15"/>
      <c r="AD70" s="12"/>
      <c r="AE70" s="12"/>
      <c r="AF70" s="14"/>
      <c r="AG70" s="18"/>
      <c r="AH70" s="18"/>
      <c r="AI70" s="17"/>
      <c r="AJ70" s="181"/>
      <c r="AK70" s="13"/>
      <c r="AL70" s="181"/>
      <c r="AM70" s="175"/>
      <c r="AN70" s="192"/>
      <c r="AO70" s="13"/>
      <c r="AP70" s="181"/>
      <c r="AQ70" s="175"/>
      <c r="AR70" s="18"/>
      <c r="AS70" s="12"/>
      <c r="AT70" s="12"/>
      <c r="AU70" s="12"/>
      <c r="AV70" s="12"/>
      <c r="AW70" s="137"/>
      <c r="AX70" s="13"/>
      <c r="AY70" s="138"/>
      <c r="AZ70" s="140"/>
      <c r="BA70" s="18"/>
      <c r="BB70" s="18" t="e">
        <f>IF(#REF!&lt;&gt;0,IF(LL[[#This Row],[Date of Birth]]&lt;&gt;0,YEAR(#REF!-LL[[#This Row],[Date of Birth]])-1900,""),"")</f>
        <v>#REF!</v>
      </c>
      <c r="BC70" s="2" t="str">
        <f>IF(LL[[#This Row],[Sx Onset Date]]&gt;0,LL[[#This Row],[Sx Onset Date]],"")</f>
        <v/>
      </c>
      <c r="BD70" s="2" t="str">
        <f>IF(LL[[#This Row],[Lab-confirmed?]]="Y",LL[[#This Row],[Test Date]],"")</f>
        <v/>
      </c>
      <c r="BE70" s="2" t="str">
        <f>IF(LL[[#This Row],[Lab-confirmed?]]="Y",LL[[#This Row],[Test Date 2]],"")</f>
        <v/>
      </c>
      <c r="BF70" s="139" t="str">
        <f>IF(LL[[#This Row],[Date Reported to Public Health]]&gt;0,LL[[#This Row],[Date Reported to Public Health]],"")</f>
        <v/>
      </c>
      <c r="BG70" s="13" t="str">
        <f t="shared" si="1"/>
        <v/>
      </c>
    </row>
    <row r="71" spans="1:59" x14ac:dyDescent="0.3">
      <c r="A71" s="11">
        <v>67</v>
      </c>
      <c r="B71" s="12"/>
      <c r="C71" s="13"/>
      <c r="D71" s="12"/>
      <c r="E71" s="12"/>
      <c r="F71" s="12"/>
      <c r="G71" s="16"/>
      <c r="H71" s="12"/>
      <c r="I71" s="14"/>
      <c r="J71" s="137"/>
      <c r="K71" s="137"/>
      <c r="L71" s="18"/>
      <c r="M71" s="139"/>
      <c r="N71" s="140"/>
      <c r="O71" s="137"/>
      <c r="P71" s="137"/>
      <c r="Q71" s="15"/>
      <c r="R71" s="12"/>
      <c r="S71" s="12"/>
      <c r="T71" s="12"/>
      <c r="U71" s="14"/>
      <c r="V71" s="15"/>
      <c r="W71" s="12"/>
      <c r="X71" s="12"/>
      <c r="Y71" s="12"/>
      <c r="Z71" s="12"/>
      <c r="AA71" s="12"/>
      <c r="AB71" s="14"/>
      <c r="AC71" s="15"/>
      <c r="AD71" s="12"/>
      <c r="AE71" s="12"/>
      <c r="AF71" s="14"/>
      <c r="AG71" s="18"/>
      <c r="AH71" s="18"/>
      <c r="AI71" s="17"/>
      <c r="AJ71" s="181"/>
      <c r="AK71" s="13"/>
      <c r="AL71" s="181"/>
      <c r="AM71" s="175"/>
      <c r="AN71" s="192"/>
      <c r="AO71" s="13"/>
      <c r="AP71" s="181"/>
      <c r="AQ71" s="175"/>
      <c r="AR71" s="18"/>
      <c r="AS71" s="12"/>
      <c r="AT71" s="12"/>
      <c r="AU71" s="12"/>
      <c r="AV71" s="12"/>
      <c r="AW71" s="137"/>
      <c r="AX71" s="13"/>
      <c r="AY71" s="138"/>
      <c r="AZ71" s="140"/>
      <c r="BA71" s="18"/>
      <c r="BB71" s="18" t="e">
        <f>IF(#REF!&lt;&gt;0,IF(LL[[#This Row],[Date of Birth]]&lt;&gt;0,YEAR(#REF!-LL[[#This Row],[Date of Birth]])-1900,""),"")</f>
        <v>#REF!</v>
      </c>
      <c r="BC71" s="2" t="str">
        <f>IF(LL[[#This Row],[Sx Onset Date]]&gt;0,LL[[#This Row],[Sx Onset Date]],"")</f>
        <v/>
      </c>
      <c r="BD71" s="2" t="str">
        <f>IF(LL[[#This Row],[Lab-confirmed?]]="Y",LL[[#This Row],[Test Date]],"")</f>
        <v/>
      </c>
      <c r="BE71" s="2" t="str">
        <f>IF(LL[[#This Row],[Lab-confirmed?]]="Y",LL[[#This Row],[Test Date 2]],"")</f>
        <v/>
      </c>
      <c r="BF71" s="139" t="str">
        <f>IF(LL[[#This Row],[Date Reported to Public Health]]&gt;0,LL[[#This Row],[Date Reported to Public Health]],"")</f>
        <v/>
      </c>
      <c r="BG71" s="13" t="str">
        <f t="shared" si="1"/>
        <v/>
      </c>
    </row>
    <row r="72" spans="1:59" x14ac:dyDescent="0.3">
      <c r="A72" s="11">
        <v>68</v>
      </c>
      <c r="B72" s="12"/>
      <c r="C72" s="13"/>
      <c r="D72" s="12"/>
      <c r="E72" s="12"/>
      <c r="F72" s="12"/>
      <c r="G72" s="16"/>
      <c r="H72" s="12"/>
      <c r="I72" s="14"/>
      <c r="J72" s="137"/>
      <c r="K72" s="137"/>
      <c r="L72" s="18"/>
      <c r="M72" s="139"/>
      <c r="N72" s="140"/>
      <c r="O72" s="137"/>
      <c r="P72" s="137"/>
      <c r="Q72" s="15"/>
      <c r="R72" s="12"/>
      <c r="S72" s="12"/>
      <c r="T72" s="12"/>
      <c r="U72" s="14"/>
      <c r="V72" s="15"/>
      <c r="W72" s="12"/>
      <c r="X72" s="12"/>
      <c r="Y72" s="12"/>
      <c r="Z72" s="12"/>
      <c r="AA72" s="12"/>
      <c r="AB72" s="14"/>
      <c r="AC72" s="15"/>
      <c r="AD72" s="12"/>
      <c r="AE72" s="12"/>
      <c r="AF72" s="14"/>
      <c r="AG72" s="18"/>
      <c r="AH72" s="18"/>
      <c r="AI72" s="17"/>
      <c r="AJ72" s="181"/>
      <c r="AK72" s="13"/>
      <c r="AL72" s="181"/>
      <c r="AM72" s="175"/>
      <c r="AN72" s="192"/>
      <c r="AO72" s="13"/>
      <c r="AP72" s="181"/>
      <c r="AQ72" s="175"/>
      <c r="AR72" s="18"/>
      <c r="AS72" s="12"/>
      <c r="AT72" s="12"/>
      <c r="AU72" s="12"/>
      <c r="AV72" s="12"/>
      <c r="AW72" s="137"/>
      <c r="AX72" s="13"/>
      <c r="AY72" s="138"/>
      <c r="AZ72" s="140"/>
      <c r="BA72" s="18"/>
      <c r="BB72" s="18" t="e">
        <f>IF(#REF!&lt;&gt;0,IF(LL[[#This Row],[Date of Birth]]&lt;&gt;0,YEAR(#REF!-LL[[#This Row],[Date of Birth]])-1900,""),"")</f>
        <v>#REF!</v>
      </c>
      <c r="BC72" s="2" t="str">
        <f>IF(LL[[#This Row],[Sx Onset Date]]&gt;0,LL[[#This Row],[Sx Onset Date]],"")</f>
        <v/>
      </c>
      <c r="BD72" s="2" t="str">
        <f>IF(LL[[#This Row],[Lab-confirmed?]]="Y",LL[[#This Row],[Test Date]],"")</f>
        <v/>
      </c>
      <c r="BE72" s="2" t="str">
        <f>IF(LL[[#This Row],[Lab-confirmed?]]="Y",LL[[#This Row],[Test Date 2]],"")</f>
        <v/>
      </c>
      <c r="BF72" s="139" t="str">
        <f>IF(LL[[#This Row],[Date Reported to Public Health]]&gt;0,LL[[#This Row],[Date Reported to Public Health]],"")</f>
        <v/>
      </c>
      <c r="BG72" s="13" t="str">
        <f t="shared" si="1"/>
        <v/>
      </c>
    </row>
    <row r="73" spans="1:59" x14ac:dyDescent="0.3">
      <c r="A73" s="11">
        <v>69</v>
      </c>
      <c r="B73" s="12"/>
      <c r="C73" s="13"/>
      <c r="D73" s="12"/>
      <c r="E73" s="12"/>
      <c r="F73" s="12"/>
      <c r="G73" s="16"/>
      <c r="H73" s="12"/>
      <c r="I73" s="14"/>
      <c r="J73" s="137"/>
      <c r="K73" s="137"/>
      <c r="L73" s="18"/>
      <c r="M73" s="139"/>
      <c r="N73" s="140"/>
      <c r="O73" s="137"/>
      <c r="P73" s="137"/>
      <c r="Q73" s="15"/>
      <c r="R73" s="12"/>
      <c r="S73" s="12"/>
      <c r="T73" s="12"/>
      <c r="U73" s="14"/>
      <c r="V73" s="15"/>
      <c r="W73" s="12"/>
      <c r="X73" s="12"/>
      <c r="Y73" s="12"/>
      <c r="Z73" s="12"/>
      <c r="AA73" s="12"/>
      <c r="AB73" s="14"/>
      <c r="AC73" s="15"/>
      <c r="AD73" s="12"/>
      <c r="AE73" s="12"/>
      <c r="AF73" s="14"/>
      <c r="AG73" s="18"/>
      <c r="AH73" s="18"/>
      <c r="AI73" s="17"/>
      <c r="AJ73" s="181"/>
      <c r="AK73" s="13"/>
      <c r="AL73" s="181"/>
      <c r="AM73" s="175"/>
      <c r="AN73" s="192"/>
      <c r="AO73" s="13"/>
      <c r="AP73" s="181"/>
      <c r="AQ73" s="175"/>
      <c r="AR73" s="18"/>
      <c r="AS73" s="12"/>
      <c r="AT73" s="12"/>
      <c r="AU73" s="12"/>
      <c r="AV73" s="12"/>
      <c r="AW73" s="137"/>
      <c r="AX73" s="13"/>
      <c r="AY73" s="138"/>
      <c r="AZ73" s="140"/>
      <c r="BA73" s="18"/>
      <c r="BB73" s="18" t="e">
        <f>IF(#REF!&lt;&gt;0,IF(LL[[#This Row],[Date of Birth]]&lt;&gt;0,YEAR(#REF!-LL[[#This Row],[Date of Birth]])-1900,""),"")</f>
        <v>#REF!</v>
      </c>
      <c r="BC73" s="2" t="str">
        <f>IF(LL[[#This Row],[Sx Onset Date]]&gt;0,LL[[#This Row],[Sx Onset Date]],"")</f>
        <v/>
      </c>
      <c r="BD73" s="2" t="str">
        <f>IF(LL[[#This Row],[Lab-confirmed?]]="Y",LL[[#This Row],[Test Date]],"")</f>
        <v/>
      </c>
      <c r="BE73" s="2" t="str">
        <f>IF(LL[[#This Row],[Lab-confirmed?]]="Y",LL[[#This Row],[Test Date 2]],"")</f>
        <v/>
      </c>
      <c r="BF73" s="139" t="str">
        <f>IF(LL[[#This Row],[Date Reported to Public Health]]&gt;0,LL[[#This Row],[Date Reported to Public Health]],"")</f>
        <v/>
      </c>
      <c r="BG73" s="13" t="str">
        <f t="shared" si="1"/>
        <v/>
      </c>
    </row>
    <row r="74" spans="1:59" x14ac:dyDescent="0.3">
      <c r="A74" s="11">
        <v>70</v>
      </c>
      <c r="B74" s="12"/>
      <c r="C74" s="13"/>
      <c r="D74" s="12"/>
      <c r="E74" s="12"/>
      <c r="F74" s="12"/>
      <c r="G74" s="16"/>
      <c r="H74" s="12"/>
      <c r="I74" s="14"/>
      <c r="J74" s="137"/>
      <c r="K74" s="137"/>
      <c r="L74" s="18"/>
      <c r="M74" s="139"/>
      <c r="N74" s="140"/>
      <c r="O74" s="137"/>
      <c r="P74" s="137"/>
      <c r="Q74" s="15"/>
      <c r="R74" s="12"/>
      <c r="S74" s="12"/>
      <c r="T74" s="12"/>
      <c r="U74" s="14"/>
      <c r="V74" s="15"/>
      <c r="W74" s="12"/>
      <c r="X74" s="12"/>
      <c r="Y74" s="12"/>
      <c r="Z74" s="12"/>
      <c r="AA74" s="12"/>
      <c r="AB74" s="14"/>
      <c r="AC74" s="15"/>
      <c r="AD74" s="12"/>
      <c r="AE74" s="12"/>
      <c r="AF74" s="14"/>
      <c r="AG74" s="18"/>
      <c r="AH74" s="18"/>
      <c r="AI74" s="17"/>
      <c r="AJ74" s="181"/>
      <c r="AK74" s="13"/>
      <c r="AL74" s="181"/>
      <c r="AM74" s="175"/>
      <c r="AN74" s="192"/>
      <c r="AO74" s="13"/>
      <c r="AP74" s="181"/>
      <c r="AQ74" s="175"/>
      <c r="AR74" s="18"/>
      <c r="AS74" s="12"/>
      <c r="AT74" s="12"/>
      <c r="AU74" s="12"/>
      <c r="AV74" s="12"/>
      <c r="AW74" s="137"/>
      <c r="AX74" s="13"/>
      <c r="AY74" s="138"/>
      <c r="AZ74" s="140"/>
      <c r="BA74" s="18"/>
      <c r="BB74" s="18" t="e">
        <f>IF(#REF!&lt;&gt;0,IF(LL[[#This Row],[Date of Birth]]&lt;&gt;0,YEAR(#REF!-LL[[#This Row],[Date of Birth]])-1900,""),"")</f>
        <v>#REF!</v>
      </c>
      <c r="BC74" s="2" t="str">
        <f>IF(LL[[#This Row],[Sx Onset Date]]&gt;0,LL[[#This Row],[Sx Onset Date]],"")</f>
        <v/>
      </c>
      <c r="BD74" s="2" t="str">
        <f>IF(LL[[#This Row],[Lab-confirmed?]]="Y",LL[[#This Row],[Test Date]],"")</f>
        <v/>
      </c>
      <c r="BE74" s="2" t="str">
        <f>IF(LL[[#This Row],[Lab-confirmed?]]="Y",LL[[#This Row],[Test Date 2]],"")</f>
        <v/>
      </c>
      <c r="BF74" s="139" t="str">
        <f>IF(LL[[#This Row],[Date Reported to Public Health]]&gt;0,LL[[#This Row],[Date Reported to Public Health]],"")</f>
        <v/>
      </c>
      <c r="BG74" s="13" t="str">
        <f t="shared" si="1"/>
        <v/>
      </c>
    </row>
    <row r="75" spans="1:59" x14ac:dyDescent="0.3">
      <c r="A75" s="11">
        <v>71</v>
      </c>
      <c r="B75" s="12"/>
      <c r="C75" s="13"/>
      <c r="D75" s="12"/>
      <c r="E75" s="12"/>
      <c r="F75" s="12"/>
      <c r="G75" s="16"/>
      <c r="H75" s="12"/>
      <c r="I75" s="14"/>
      <c r="J75" s="137"/>
      <c r="K75" s="137"/>
      <c r="L75" s="18"/>
      <c r="M75" s="139"/>
      <c r="N75" s="140"/>
      <c r="O75" s="137"/>
      <c r="P75" s="137"/>
      <c r="Q75" s="15"/>
      <c r="R75" s="12"/>
      <c r="S75" s="12"/>
      <c r="T75" s="12"/>
      <c r="U75" s="14"/>
      <c r="V75" s="15"/>
      <c r="W75" s="12"/>
      <c r="X75" s="12"/>
      <c r="Y75" s="12"/>
      <c r="Z75" s="12"/>
      <c r="AA75" s="12"/>
      <c r="AB75" s="14"/>
      <c r="AC75" s="15"/>
      <c r="AD75" s="12"/>
      <c r="AE75" s="12"/>
      <c r="AF75" s="14"/>
      <c r="AG75" s="18"/>
      <c r="AH75" s="18"/>
      <c r="AI75" s="17"/>
      <c r="AJ75" s="181"/>
      <c r="AK75" s="13"/>
      <c r="AL75" s="181"/>
      <c r="AM75" s="175"/>
      <c r="AN75" s="192"/>
      <c r="AO75" s="13"/>
      <c r="AP75" s="181"/>
      <c r="AQ75" s="175"/>
      <c r="AR75" s="18"/>
      <c r="AS75" s="12"/>
      <c r="AT75" s="12"/>
      <c r="AU75" s="12"/>
      <c r="AV75" s="12"/>
      <c r="AW75" s="137"/>
      <c r="AX75" s="13"/>
      <c r="AY75" s="138"/>
      <c r="AZ75" s="140"/>
      <c r="BA75" s="18"/>
      <c r="BB75" s="18" t="e">
        <f>IF(#REF!&lt;&gt;0,IF(LL[[#This Row],[Date of Birth]]&lt;&gt;0,YEAR(#REF!-LL[[#This Row],[Date of Birth]])-1900,""),"")</f>
        <v>#REF!</v>
      </c>
      <c r="BC75" s="2" t="str">
        <f>IF(LL[[#This Row],[Sx Onset Date]]&gt;0,LL[[#This Row],[Sx Onset Date]],"")</f>
        <v/>
      </c>
      <c r="BD75" s="2" t="str">
        <f>IF(LL[[#This Row],[Lab-confirmed?]]="Y",LL[[#This Row],[Test Date]],"")</f>
        <v/>
      </c>
      <c r="BE75" s="2" t="str">
        <f>IF(LL[[#This Row],[Lab-confirmed?]]="Y",LL[[#This Row],[Test Date 2]],"")</f>
        <v/>
      </c>
      <c r="BF75" s="139" t="str">
        <f>IF(LL[[#This Row],[Date Reported to Public Health]]&gt;0,LL[[#This Row],[Date Reported to Public Health]],"")</f>
        <v/>
      </c>
      <c r="BG75" s="13" t="str">
        <f t="shared" si="1"/>
        <v/>
      </c>
    </row>
    <row r="76" spans="1:59" x14ac:dyDescent="0.3">
      <c r="A76" s="11">
        <v>72</v>
      </c>
      <c r="B76" s="12"/>
      <c r="C76" s="13"/>
      <c r="D76" s="12"/>
      <c r="E76" s="12"/>
      <c r="F76" s="12"/>
      <c r="G76" s="16"/>
      <c r="H76" s="12"/>
      <c r="I76" s="14"/>
      <c r="J76" s="137"/>
      <c r="K76" s="137"/>
      <c r="L76" s="18"/>
      <c r="M76" s="139"/>
      <c r="N76" s="140"/>
      <c r="O76" s="137"/>
      <c r="P76" s="137"/>
      <c r="Q76" s="15"/>
      <c r="R76" s="12"/>
      <c r="S76" s="12"/>
      <c r="T76" s="12"/>
      <c r="U76" s="14"/>
      <c r="V76" s="15"/>
      <c r="W76" s="12"/>
      <c r="X76" s="12"/>
      <c r="Y76" s="12"/>
      <c r="Z76" s="12"/>
      <c r="AA76" s="12"/>
      <c r="AB76" s="14"/>
      <c r="AC76" s="15"/>
      <c r="AD76" s="12"/>
      <c r="AE76" s="12"/>
      <c r="AF76" s="14"/>
      <c r="AG76" s="18"/>
      <c r="AH76" s="18"/>
      <c r="AI76" s="17"/>
      <c r="AJ76" s="181"/>
      <c r="AK76" s="13"/>
      <c r="AL76" s="181"/>
      <c r="AM76" s="175"/>
      <c r="AN76" s="192"/>
      <c r="AO76" s="13"/>
      <c r="AP76" s="181"/>
      <c r="AQ76" s="175"/>
      <c r="AR76" s="18"/>
      <c r="AS76" s="12"/>
      <c r="AT76" s="12"/>
      <c r="AU76" s="12"/>
      <c r="AV76" s="12"/>
      <c r="AW76" s="137"/>
      <c r="AX76" s="13"/>
      <c r="AY76" s="138"/>
      <c r="AZ76" s="140"/>
      <c r="BA76" s="18"/>
      <c r="BB76" s="18" t="e">
        <f>IF(#REF!&lt;&gt;0,IF(LL[[#This Row],[Date of Birth]]&lt;&gt;0,YEAR(#REF!-LL[[#This Row],[Date of Birth]])-1900,""),"")</f>
        <v>#REF!</v>
      </c>
      <c r="BC76" s="2" t="str">
        <f>IF(LL[[#This Row],[Sx Onset Date]]&gt;0,LL[[#This Row],[Sx Onset Date]],"")</f>
        <v/>
      </c>
      <c r="BD76" s="2" t="str">
        <f>IF(LL[[#This Row],[Lab-confirmed?]]="Y",LL[[#This Row],[Test Date]],"")</f>
        <v/>
      </c>
      <c r="BE76" s="2" t="str">
        <f>IF(LL[[#This Row],[Lab-confirmed?]]="Y",LL[[#This Row],[Test Date 2]],"")</f>
        <v/>
      </c>
      <c r="BF76" s="139" t="str">
        <f>IF(LL[[#This Row],[Date Reported to Public Health]]&gt;0,LL[[#This Row],[Date Reported to Public Health]],"")</f>
        <v/>
      </c>
      <c r="BG76" s="13" t="str">
        <f t="shared" si="1"/>
        <v/>
      </c>
    </row>
    <row r="77" spans="1:59" x14ac:dyDescent="0.3">
      <c r="A77" s="11">
        <v>73</v>
      </c>
      <c r="B77" s="12"/>
      <c r="C77" s="13"/>
      <c r="D77" s="12"/>
      <c r="E77" s="12"/>
      <c r="F77" s="12"/>
      <c r="G77" s="16"/>
      <c r="H77" s="12"/>
      <c r="I77" s="14"/>
      <c r="J77" s="137"/>
      <c r="K77" s="137"/>
      <c r="L77" s="18"/>
      <c r="M77" s="139"/>
      <c r="N77" s="140"/>
      <c r="O77" s="137"/>
      <c r="P77" s="137"/>
      <c r="Q77" s="15"/>
      <c r="R77" s="12"/>
      <c r="S77" s="12"/>
      <c r="T77" s="12"/>
      <c r="U77" s="14"/>
      <c r="V77" s="15"/>
      <c r="W77" s="12"/>
      <c r="X77" s="12"/>
      <c r="Y77" s="12"/>
      <c r="Z77" s="12"/>
      <c r="AA77" s="12"/>
      <c r="AB77" s="14"/>
      <c r="AC77" s="15"/>
      <c r="AD77" s="12"/>
      <c r="AE77" s="12"/>
      <c r="AF77" s="14"/>
      <c r="AG77" s="18"/>
      <c r="AH77" s="18"/>
      <c r="AI77" s="17"/>
      <c r="AJ77" s="181"/>
      <c r="AK77" s="13"/>
      <c r="AL77" s="181"/>
      <c r="AM77" s="175"/>
      <c r="AN77" s="192"/>
      <c r="AO77" s="13"/>
      <c r="AP77" s="181"/>
      <c r="AQ77" s="175"/>
      <c r="AR77" s="18"/>
      <c r="AS77" s="12"/>
      <c r="AT77" s="12"/>
      <c r="AU77" s="12"/>
      <c r="AV77" s="12"/>
      <c r="AW77" s="137"/>
      <c r="AX77" s="13"/>
      <c r="AY77" s="138"/>
      <c r="AZ77" s="140"/>
      <c r="BA77" s="18"/>
      <c r="BB77" s="18" t="e">
        <f>IF(#REF!&lt;&gt;0,IF(LL[[#This Row],[Date of Birth]]&lt;&gt;0,YEAR(#REF!-LL[[#This Row],[Date of Birth]])-1900,""),"")</f>
        <v>#REF!</v>
      </c>
      <c r="BC77" s="2" t="str">
        <f>IF(LL[[#This Row],[Sx Onset Date]]&gt;0,LL[[#This Row],[Sx Onset Date]],"")</f>
        <v/>
      </c>
      <c r="BD77" s="2" t="str">
        <f>IF(LL[[#This Row],[Lab-confirmed?]]="Y",LL[[#This Row],[Test Date]],"")</f>
        <v/>
      </c>
      <c r="BE77" s="2" t="str">
        <f>IF(LL[[#This Row],[Lab-confirmed?]]="Y",LL[[#This Row],[Test Date 2]],"")</f>
        <v/>
      </c>
      <c r="BF77" s="139" t="str">
        <f>IF(LL[[#This Row],[Date Reported to Public Health]]&gt;0,LL[[#This Row],[Date Reported to Public Health]],"")</f>
        <v/>
      </c>
      <c r="BG77" s="13" t="str">
        <f t="shared" si="1"/>
        <v/>
      </c>
    </row>
    <row r="78" spans="1:59" x14ac:dyDescent="0.3">
      <c r="A78" s="11">
        <v>74</v>
      </c>
      <c r="B78" s="12"/>
      <c r="C78" s="13"/>
      <c r="D78" s="12"/>
      <c r="E78" s="12"/>
      <c r="F78" s="12"/>
      <c r="G78" s="16"/>
      <c r="H78" s="12"/>
      <c r="I78" s="14"/>
      <c r="J78" s="137"/>
      <c r="K78" s="137"/>
      <c r="L78" s="18"/>
      <c r="M78" s="139"/>
      <c r="N78" s="140"/>
      <c r="O78" s="137"/>
      <c r="P78" s="137"/>
      <c r="Q78" s="15"/>
      <c r="R78" s="12"/>
      <c r="S78" s="12"/>
      <c r="T78" s="12"/>
      <c r="U78" s="14"/>
      <c r="V78" s="15"/>
      <c r="W78" s="12"/>
      <c r="X78" s="12"/>
      <c r="Y78" s="12"/>
      <c r="Z78" s="12"/>
      <c r="AA78" s="12"/>
      <c r="AB78" s="14"/>
      <c r="AC78" s="15"/>
      <c r="AD78" s="12"/>
      <c r="AE78" s="12"/>
      <c r="AF78" s="14"/>
      <c r="AG78" s="18"/>
      <c r="AH78" s="18"/>
      <c r="AI78" s="17"/>
      <c r="AJ78" s="181"/>
      <c r="AK78" s="13"/>
      <c r="AL78" s="181"/>
      <c r="AM78" s="175"/>
      <c r="AN78" s="192"/>
      <c r="AO78" s="13"/>
      <c r="AP78" s="181"/>
      <c r="AQ78" s="175"/>
      <c r="AR78" s="18"/>
      <c r="AS78" s="12"/>
      <c r="AT78" s="12"/>
      <c r="AU78" s="12"/>
      <c r="AV78" s="12"/>
      <c r="AW78" s="137"/>
      <c r="AX78" s="13"/>
      <c r="AY78" s="138"/>
      <c r="AZ78" s="140"/>
      <c r="BA78" s="18"/>
      <c r="BB78" s="18" t="e">
        <f>IF(#REF!&lt;&gt;0,IF(LL[[#This Row],[Date of Birth]]&lt;&gt;0,YEAR(#REF!-LL[[#This Row],[Date of Birth]])-1900,""),"")</f>
        <v>#REF!</v>
      </c>
      <c r="BC78" s="2" t="str">
        <f>IF(LL[[#This Row],[Sx Onset Date]]&gt;0,LL[[#This Row],[Sx Onset Date]],"")</f>
        <v/>
      </c>
      <c r="BD78" s="2" t="str">
        <f>IF(LL[[#This Row],[Lab-confirmed?]]="Y",LL[[#This Row],[Test Date]],"")</f>
        <v/>
      </c>
      <c r="BE78" s="2" t="str">
        <f>IF(LL[[#This Row],[Lab-confirmed?]]="Y",LL[[#This Row],[Test Date 2]],"")</f>
        <v/>
      </c>
      <c r="BF78" s="139" t="str">
        <f>IF(LL[[#This Row],[Date Reported to Public Health]]&gt;0,LL[[#This Row],[Date Reported to Public Health]],"")</f>
        <v/>
      </c>
      <c r="BG78" s="13" t="str">
        <f t="shared" si="1"/>
        <v/>
      </c>
    </row>
    <row r="79" spans="1:59" x14ac:dyDescent="0.3">
      <c r="A79" s="11">
        <v>75</v>
      </c>
      <c r="B79" s="12"/>
      <c r="C79" s="13"/>
      <c r="D79" s="12"/>
      <c r="E79" s="12"/>
      <c r="F79" s="12"/>
      <c r="G79" s="16"/>
      <c r="H79" s="12"/>
      <c r="I79" s="14"/>
      <c r="J79" s="137"/>
      <c r="K79" s="137"/>
      <c r="L79" s="18"/>
      <c r="M79" s="139"/>
      <c r="N79" s="140"/>
      <c r="O79" s="137"/>
      <c r="P79" s="137"/>
      <c r="Q79" s="15"/>
      <c r="R79" s="12"/>
      <c r="S79" s="12"/>
      <c r="T79" s="12"/>
      <c r="U79" s="14"/>
      <c r="V79" s="15"/>
      <c r="W79" s="12"/>
      <c r="X79" s="12"/>
      <c r="Y79" s="12"/>
      <c r="Z79" s="12"/>
      <c r="AA79" s="12"/>
      <c r="AB79" s="14"/>
      <c r="AC79" s="15"/>
      <c r="AD79" s="12"/>
      <c r="AE79" s="12"/>
      <c r="AF79" s="14"/>
      <c r="AG79" s="18"/>
      <c r="AH79" s="18"/>
      <c r="AI79" s="17"/>
      <c r="AJ79" s="181"/>
      <c r="AK79" s="13"/>
      <c r="AL79" s="181"/>
      <c r="AM79" s="175"/>
      <c r="AN79" s="192"/>
      <c r="AO79" s="13"/>
      <c r="AP79" s="181"/>
      <c r="AQ79" s="175"/>
      <c r="AR79" s="18"/>
      <c r="AS79" s="12"/>
      <c r="AT79" s="12"/>
      <c r="AU79" s="12"/>
      <c r="AV79" s="12"/>
      <c r="AW79" s="137"/>
      <c r="AX79" s="13"/>
      <c r="AY79" s="138"/>
      <c r="AZ79" s="140"/>
      <c r="BA79" s="18"/>
      <c r="BB79" s="18" t="e">
        <f>IF(#REF!&lt;&gt;0,IF(LL[[#This Row],[Date of Birth]]&lt;&gt;0,YEAR(#REF!-LL[[#This Row],[Date of Birth]])-1900,""),"")</f>
        <v>#REF!</v>
      </c>
      <c r="BC79" s="2" t="str">
        <f>IF(LL[[#This Row],[Sx Onset Date]]&gt;0,LL[[#This Row],[Sx Onset Date]],"")</f>
        <v/>
      </c>
      <c r="BD79" s="2" t="str">
        <f>IF(LL[[#This Row],[Lab-confirmed?]]="Y",LL[[#This Row],[Test Date]],"")</f>
        <v/>
      </c>
      <c r="BE79" s="2" t="str">
        <f>IF(LL[[#This Row],[Lab-confirmed?]]="Y",LL[[#This Row],[Test Date 2]],"")</f>
        <v/>
      </c>
      <c r="BF79" s="139" t="str">
        <f>IF(LL[[#This Row],[Date Reported to Public Health]]&gt;0,LL[[#This Row],[Date Reported to Public Health]],"")</f>
        <v/>
      </c>
      <c r="BG79" s="13" t="str">
        <f t="shared" si="1"/>
        <v/>
      </c>
    </row>
    <row r="80" spans="1:59" x14ac:dyDescent="0.3">
      <c r="A80" s="11">
        <v>76</v>
      </c>
      <c r="B80" s="12"/>
      <c r="C80" s="13"/>
      <c r="D80" s="12"/>
      <c r="E80" s="12"/>
      <c r="F80" s="12"/>
      <c r="G80" s="16"/>
      <c r="H80" s="12"/>
      <c r="I80" s="14"/>
      <c r="J80" s="137"/>
      <c r="K80" s="137"/>
      <c r="L80" s="18"/>
      <c r="M80" s="139"/>
      <c r="N80" s="140"/>
      <c r="O80" s="137"/>
      <c r="P80" s="137"/>
      <c r="Q80" s="15"/>
      <c r="R80" s="12"/>
      <c r="S80" s="12"/>
      <c r="T80" s="12"/>
      <c r="U80" s="14"/>
      <c r="V80" s="15"/>
      <c r="W80" s="12"/>
      <c r="X80" s="12"/>
      <c r="Y80" s="12"/>
      <c r="Z80" s="12"/>
      <c r="AA80" s="12"/>
      <c r="AB80" s="14"/>
      <c r="AC80" s="15"/>
      <c r="AD80" s="12"/>
      <c r="AE80" s="12"/>
      <c r="AF80" s="14"/>
      <c r="AG80" s="18"/>
      <c r="AH80" s="18"/>
      <c r="AI80" s="17"/>
      <c r="AJ80" s="181"/>
      <c r="AK80" s="13"/>
      <c r="AL80" s="181"/>
      <c r="AM80" s="175"/>
      <c r="AN80" s="192"/>
      <c r="AO80" s="13"/>
      <c r="AP80" s="181"/>
      <c r="AQ80" s="175"/>
      <c r="AR80" s="18"/>
      <c r="AS80" s="12"/>
      <c r="AT80" s="12"/>
      <c r="AU80" s="12"/>
      <c r="AV80" s="12"/>
      <c r="AW80" s="137"/>
      <c r="AX80" s="13"/>
      <c r="AY80" s="138"/>
      <c r="AZ80" s="140"/>
      <c r="BA80" s="18"/>
      <c r="BB80" s="18" t="e">
        <f>IF(#REF!&lt;&gt;0,IF(LL[[#This Row],[Date of Birth]]&lt;&gt;0,YEAR(#REF!-LL[[#This Row],[Date of Birth]])-1900,""),"")</f>
        <v>#REF!</v>
      </c>
      <c r="BC80" s="2" t="str">
        <f>IF(LL[[#This Row],[Sx Onset Date]]&gt;0,LL[[#This Row],[Sx Onset Date]],"")</f>
        <v/>
      </c>
      <c r="BD80" s="2" t="str">
        <f>IF(LL[[#This Row],[Lab-confirmed?]]="Y",LL[[#This Row],[Test Date]],"")</f>
        <v/>
      </c>
      <c r="BE80" s="2" t="str">
        <f>IF(LL[[#This Row],[Lab-confirmed?]]="Y",LL[[#This Row],[Test Date 2]],"")</f>
        <v/>
      </c>
      <c r="BF80" s="139" t="str">
        <f>IF(LL[[#This Row],[Date Reported to Public Health]]&gt;0,LL[[#This Row],[Date Reported to Public Health]],"")</f>
        <v/>
      </c>
      <c r="BG80" s="13" t="str">
        <f t="shared" si="1"/>
        <v/>
      </c>
    </row>
    <row r="81" spans="1:59" x14ac:dyDescent="0.3">
      <c r="A81" s="11">
        <v>77</v>
      </c>
      <c r="B81" s="12"/>
      <c r="C81" s="13"/>
      <c r="D81" s="12"/>
      <c r="E81" s="12"/>
      <c r="F81" s="12"/>
      <c r="G81" s="16"/>
      <c r="H81" s="12"/>
      <c r="I81" s="14"/>
      <c r="J81" s="137"/>
      <c r="K81" s="137"/>
      <c r="L81" s="18"/>
      <c r="M81" s="139"/>
      <c r="N81" s="140"/>
      <c r="O81" s="137"/>
      <c r="P81" s="137"/>
      <c r="Q81" s="15"/>
      <c r="R81" s="12"/>
      <c r="S81" s="12"/>
      <c r="T81" s="12"/>
      <c r="U81" s="14"/>
      <c r="V81" s="15"/>
      <c r="W81" s="12"/>
      <c r="X81" s="12"/>
      <c r="Y81" s="12"/>
      <c r="Z81" s="12"/>
      <c r="AA81" s="12"/>
      <c r="AB81" s="14"/>
      <c r="AC81" s="15"/>
      <c r="AD81" s="12"/>
      <c r="AE81" s="12"/>
      <c r="AF81" s="14"/>
      <c r="AG81" s="18"/>
      <c r="AH81" s="18"/>
      <c r="AI81" s="17"/>
      <c r="AJ81" s="181"/>
      <c r="AK81" s="13"/>
      <c r="AL81" s="181"/>
      <c r="AM81" s="175"/>
      <c r="AN81" s="192"/>
      <c r="AO81" s="13"/>
      <c r="AP81" s="181"/>
      <c r="AQ81" s="175"/>
      <c r="AR81" s="18"/>
      <c r="AS81" s="12"/>
      <c r="AT81" s="12"/>
      <c r="AU81" s="12"/>
      <c r="AV81" s="12"/>
      <c r="AW81" s="137"/>
      <c r="AX81" s="13"/>
      <c r="AY81" s="138"/>
      <c r="AZ81" s="140"/>
      <c r="BA81" s="18"/>
      <c r="BB81" s="18" t="e">
        <f>IF(#REF!&lt;&gt;0,IF(LL[[#This Row],[Date of Birth]]&lt;&gt;0,YEAR(#REF!-LL[[#This Row],[Date of Birth]])-1900,""),"")</f>
        <v>#REF!</v>
      </c>
      <c r="BC81" s="2" t="str">
        <f>IF(LL[[#This Row],[Sx Onset Date]]&gt;0,LL[[#This Row],[Sx Onset Date]],"")</f>
        <v/>
      </c>
      <c r="BD81" s="2" t="str">
        <f>IF(LL[[#This Row],[Lab-confirmed?]]="Y",LL[[#This Row],[Test Date]],"")</f>
        <v/>
      </c>
      <c r="BE81" s="2" t="str">
        <f>IF(LL[[#This Row],[Lab-confirmed?]]="Y",LL[[#This Row],[Test Date 2]],"")</f>
        <v/>
      </c>
      <c r="BF81" s="139" t="str">
        <f>IF(LL[[#This Row],[Date Reported to Public Health]]&gt;0,LL[[#This Row],[Date Reported to Public Health]],"")</f>
        <v/>
      </c>
      <c r="BG81" s="13" t="str">
        <f t="shared" si="1"/>
        <v/>
      </c>
    </row>
    <row r="82" spans="1:59" x14ac:dyDescent="0.3">
      <c r="A82" s="11">
        <v>78</v>
      </c>
      <c r="B82" s="12"/>
      <c r="C82" s="13"/>
      <c r="D82" s="12"/>
      <c r="E82" s="12"/>
      <c r="F82" s="12"/>
      <c r="G82" s="16"/>
      <c r="H82" s="12"/>
      <c r="I82" s="14"/>
      <c r="J82" s="137"/>
      <c r="K82" s="137"/>
      <c r="L82" s="18"/>
      <c r="M82" s="139"/>
      <c r="N82" s="140"/>
      <c r="O82" s="137"/>
      <c r="P82" s="137"/>
      <c r="Q82" s="15"/>
      <c r="R82" s="12"/>
      <c r="S82" s="12"/>
      <c r="T82" s="12"/>
      <c r="U82" s="14"/>
      <c r="V82" s="15"/>
      <c r="W82" s="12"/>
      <c r="X82" s="12"/>
      <c r="Y82" s="12"/>
      <c r="Z82" s="12"/>
      <c r="AA82" s="12"/>
      <c r="AB82" s="14"/>
      <c r="AC82" s="15"/>
      <c r="AD82" s="12"/>
      <c r="AE82" s="12"/>
      <c r="AF82" s="14"/>
      <c r="AG82" s="18"/>
      <c r="AH82" s="18"/>
      <c r="AI82" s="17"/>
      <c r="AJ82" s="181"/>
      <c r="AK82" s="13"/>
      <c r="AL82" s="181"/>
      <c r="AM82" s="175"/>
      <c r="AN82" s="192"/>
      <c r="AO82" s="13"/>
      <c r="AP82" s="181"/>
      <c r="AQ82" s="175"/>
      <c r="AR82" s="18"/>
      <c r="AS82" s="12"/>
      <c r="AT82" s="12"/>
      <c r="AU82" s="12"/>
      <c r="AV82" s="12"/>
      <c r="AW82" s="137"/>
      <c r="AX82" s="13"/>
      <c r="AY82" s="138"/>
      <c r="AZ82" s="140"/>
      <c r="BA82" s="18"/>
      <c r="BB82" s="18" t="e">
        <f>IF(#REF!&lt;&gt;0,IF(LL[[#This Row],[Date of Birth]]&lt;&gt;0,YEAR(#REF!-LL[[#This Row],[Date of Birth]])-1900,""),"")</f>
        <v>#REF!</v>
      </c>
      <c r="BC82" s="2" t="str">
        <f>IF(LL[[#This Row],[Sx Onset Date]]&gt;0,LL[[#This Row],[Sx Onset Date]],"")</f>
        <v/>
      </c>
      <c r="BD82" s="2" t="str">
        <f>IF(LL[[#This Row],[Lab-confirmed?]]="Y",LL[[#This Row],[Test Date]],"")</f>
        <v/>
      </c>
      <c r="BE82" s="2" t="str">
        <f>IF(LL[[#This Row],[Lab-confirmed?]]="Y",LL[[#This Row],[Test Date 2]],"")</f>
        <v/>
      </c>
      <c r="BF82" s="139" t="str">
        <f>IF(LL[[#This Row],[Date Reported to Public Health]]&gt;0,LL[[#This Row],[Date Reported to Public Health]],"")</f>
        <v/>
      </c>
      <c r="BG82" s="13" t="str">
        <f t="shared" si="1"/>
        <v/>
      </c>
    </row>
    <row r="83" spans="1:59" x14ac:dyDescent="0.3">
      <c r="A83" s="11">
        <v>79</v>
      </c>
      <c r="B83" s="12"/>
      <c r="C83" s="13"/>
      <c r="D83" s="12"/>
      <c r="E83" s="12"/>
      <c r="F83" s="12"/>
      <c r="G83" s="16"/>
      <c r="H83" s="12"/>
      <c r="I83" s="14"/>
      <c r="J83" s="137"/>
      <c r="K83" s="137"/>
      <c r="L83" s="18"/>
      <c r="M83" s="139"/>
      <c r="N83" s="140"/>
      <c r="O83" s="137"/>
      <c r="P83" s="137"/>
      <c r="Q83" s="15"/>
      <c r="R83" s="12"/>
      <c r="S83" s="12"/>
      <c r="T83" s="12"/>
      <c r="U83" s="14"/>
      <c r="V83" s="15"/>
      <c r="W83" s="12"/>
      <c r="X83" s="12"/>
      <c r="Y83" s="12"/>
      <c r="Z83" s="12"/>
      <c r="AA83" s="12"/>
      <c r="AB83" s="14"/>
      <c r="AC83" s="15"/>
      <c r="AD83" s="12"/>
      <c r="AE83" s="12"/>
      <c r="AF83" s="14"/>
      <c r="AG83" s="18"/>
      <c r="AH83" s="18"/>
      <c r="AI83" s="17"/>
      <c r="AJ83" s="181"/>
      <c r="AK83" s="13"/>
      <c r="AL83" s="181"/>
      <c r="AM83" s="175"/>
      <c r="AN83" s="192"/>
      <c r="AO83" s="13"/>
      <c r="AP83" s="181"/>
      <c r="AQ83" s="175"/>
      <c r="AR83" s="18"/>
      <c r="AS83" s="12"/>
      <c r="AT83" s="12"/>
      <c r="AU83" s="12"/>
      <c r="AV83" s="12"/>
      <c r="AW83" s="137"/>
      <c r="AX83" s="13"/>
      <c r="AY83" s="138"/>
      <c r="AZ83" s="140"/>
      <c r="BA83" s="18"/>
      <c r="BB83" s="18" t="e">
        <f>IF(#REF!&lt;&gt;0,IF(LL[[#This Row],[Date of Birth]]&lt;&gt;0,YEAR(#REF!-LL[[#This Row],[Date of Birth]])-1900,""),"")</f>
        <v>#REF!</v>
      </c>
      <c r="BC83" s="2" t="str">
        <f>IF(LL[[#This Row],[Sx Onset Date]]&gt;0,LL[[#This Row],[Sx Onset Date]],"")</f>
        <v/>
      </c>
      <c r="BD83" s="2" t="str">
        <f>IF(LL[[#This Row],[Lab-confirmed?]]="Y",LL[[#This Row],[Test Date]],"")</f>
        <v/>
      </c>
      <c r="BE83" s="2" t="str">
        <f>IF(LL[[#This Row],[Lab-confirmed?]]="Y",LL[[#This Row],[Test Date 2]],"")</f>
        <v/>
      </c>
      <c r="BF83" s="139" t="str">
        <f>IF(LL[[#This Row],[Date Reported to Public Health]]&gt;0,LL[[#This Row],[Date Reported to Public Health]],"")</f>
        <v/>
      </c>
      <c r="BG83" s="13" t="str">
        <f t="shared" si="1"/>
        <v/>
      </c>
    </row>
    <row r="84" spans="1:59" x14ac:dyDescent="0.3">
      <c r="A84" s="11">
        <v>80</v>
      </c>
      <c r="B84" s="12"/>
      <c r="C84" s="13"/>
      <c r="D84" s="12"/>
      <c r="E84" s="12"/>
      <c r="F84" s="12"/>
      <c r="G84" s="16"/>
      <c r="H84" s="12"/>
      <c r="I84" s="14"/>
      <c r="J84" s="137"/>
      <c r="K84" s="137"/>
      <c r="L84" s="18"/>
      <c r="M84" s="139"/>
      <c r="N84" s="140"/>
      <c r="O84" s="137"/>
      <c r="P84" s="137"/>
      <c r="Q84" s="15"/>
      <c r="R84" s="12"/>
      <c r="S84" s="12"/>
      <c r="T84" s="12"/>
      <c r="U84" s="14"/>
      <c r="V84" s="15"/>
      <c r="W84" s="12"/>
      <c r="X84" s="12"/>
      <c r="Y84" s="12"/>
      <c r="Z84" s="12"/>
      <c r="AA84" s="12"/>
      <c r="AB84" s="14"/>
      <c r="AC84" s="15"/>
      <c r="AD84" s="12"/>
      <c r="AE84" s="12"/>
      <c r="AF84" s="14"/>
      <c r="AG84" s="18"/>
      <c r="AH84" s="18"/>
      <c r="AI84" s="17"/>
      <c r="AJ84" s="181"/>
      <c r="AK84" s="13"/>
      <c r="AL84" s="181"/>
      <c r="AM84" s="175"/>
      <c r="AN84" s="192"/>
      <c r="AO84" s="13"/>
      <c r="AP84" s="181"/>
      <c r="AQ84" s="175"/>
      <c r="AR84" s="18"/>
      <c r="AS84" s="12"/>
      <c r="AT84" s="12"/>
      <c r="AU84" s="12"/>
      <c r="AV84" s="12"/>
      <c r="AW84" s="137"/>
      <c r="AX84" s="13"/>
      <c r="AY84" s="138"/>
      <c r="AZ84" s="140"/>
      <c r="BA84" s="18"/>
      <c r="BB84" s="18" t="e">
        <f>IF(#REF!&lt;&gt;0,IF(LL[[#This Row],[Date of Birth]]&lt;&gt;0,YEAR(#REF!-LL[[#This Row],[Date of Birth]])-1900,""),"")</f>
        <v>#REF!</v>
      </c>
      <c r="BC84" s="2" t="str">
        <f>IF(LL[[#This Row],[Sx Onset Date]]&gt;0,LL[[#This Row],[Sx Onset Date]],"")</f>
        <v/>
      </c>
      <c r="BD84" s="2" t="str">
        <f>IF(LL[[#This Row],[Lab-confirmed?]]="Y",LL[[#This Row],[Test Date]],"")</f>
        <v/>
      </c>
      <c r="BE84" s="2" t="str">
        <f>IF(LL[[#This Row],[Lab-confirmed?]]="Y",LL[[#This Row],[Test Date 2]],"")</f>
        <v/>
      </c>
      <c r="BF84" s="139" t="str">
        <f>IF(LL[[#This Row],[Date Reported to Public Health]]&gt;0,LL[[#This Row],[Date Reported to Public Health]],"")</f>
        <v/>
      </c>
      <c r="BG84" s="13" t="str">
        <f t="shared" si="1"/>
        <v/>
      </c>
    </row>
    <row r="85" spans="1:59" x14ac:dyDescent="0.3">
      <c r="A85" s="11">
        <v>81</v>
      </c>
      <c r="B85" s="12"/>
      <c r="C85" s="13"/>
      <c r="D85" s="12"/>
      <c r="E85" s="12"/>
      <c r="F85" s="12"/>
      <c r="G85" s="16"/>
      <c r="H85" s="12"/>
      <c r="I85" s="14"/>
      <c r="J85" s="137"/>
      <c r="K85" s="137"/>
      <c r="L85" s="18"/>
      <c r="M85" s="139"/>
      <c r="N85" s="140"/>
      <c r="O85" s="137"/>
      <c r="P85" s="137"/>
      <c r="Q85" s="15"/>
      <c r="R85" s="12"/>
      <c r="S85" s="12"/>
      <c r="T85" s="12"/>
      <c r="U85" s="14"/>
      <c r="V85" s="15"/>
      <c r="W85" s="12"/>
      <c r="X85" s="12"/>
      <c r="Y85" s="12"/>
      <c r="Z85" s="12"/>
      <c r="AA85" s="12"/>
      <c r="AB85" s="14"/>
      <c r="AC85" s="15"/>
      <c r="AD85" s="12"/>
      <c r="AE85" s="12"/>
      <c r="AF85" s="14"/>
      <c r="AG85" s="18"/>
      <c r="AH85" s="18"/>
      <c r="AI85" s="17"/>
      <c r="AJ85" s="181"/>
      <c r="AK85" s="13"/>
      <c r="AL85" s="181"/>
      <c r="AM85" s="175"/>
      <c r="AN85" s="192"/>
      <c r="AO85" s="13"/>
      <c r="AP85" s="181"/>
      <c r="AQ85" s="175"/>
      <c r="AR85" s="18"/>
      <c r="AS85" s="12"/>
      <c r="AT85" s="12"/>
      <c r="AU85" s="12"/>
      <c r="AV85" s="12"/>
      <c r="AW85" s="137"/>
      <c r="AX85" s="13"/>
      <c r="AY85" s="138"/>
      <c r="AZ85" s="140"/>
      <c r="BA85" s="18"/>
      <c r="BB85" s="18" t="e">
        <f>IF(#REF!&lt;&gt;0,IF(LL[[#This Row],[Date of Birth]]&lt;&gt;0,YEAR(#REF!-LL[[#This Row],[Date of Birth]])-1900,""),"")</f>
        <v>#REF!</v>
      </c>
      <c r="BC85" s="2" t="str">
        <f>IF(LL[[#This Row],[Sx Onset Date]]&gt;0,LL[[#This Row],[Sx Onset Date]],"")</f>
        <v/>
      </c>
      <c r="BD85" s="2" t="str">
        <f>IF(LL[[#This Row],[Lab-confirmed?]]="Y",LL[[#This Row],[Test Date]],"")</f>
        <v/>
      </c>
      <c r="BE85" s="2" t="str">
        <f>IF(LL[[#This Row],[Lab-confirmed?]]="Y",LL[[#This Row],[Test Date 2]],"")</f>
        <v/>
      </c>
      <c r="BF85" s="139" t="str">
        <f>IF(LL[[#This Row],[Date Reported to Public Health]]&gt;0,LL[[#This Row],[Date Reported to Public Health]],"")</f>
        <v/>
      </c>
      <c r="BG85" s="13" t="str">
        <f t="shared" si="1"/>
        <v/>
      </c>
    </row>
    <row r="86" spans="1:59" x14ac:dyDescent="0.3">
      <c r="A86" s="11">
        <v>82</v>
      </c>
      <c r="B86" s="12"/>
      <c r="C86" s="13"/>
      <c r="D86" s="12"/>
      <c r="E86" s="12"/>
      <c r="F86" s="12"/>
      <c r="G86" s="16"/>
      <c r="H86" s="12"/>
      <c r="I86" s="14"/>
      <c r="J86" s="137"/>
      <c r="K86" s="137"/>
      <c r="L86" s="18"/>
      <c r="M86" s="139"/>
      <c r="N86" s="140"/>
      <c r="O86" s="137"/>
      <c r="P86" s="137"/>
      <c r="Q86" s="15"/>
      <c r="R86" s="12"/>
      <c r="S86" s="12"/>
      <c r="T86" s="12"/>
      <c r="U86" s="14"/>
      <c r="V86" s="15"/>
      <c r="W86" s="12"/>
      <c r="X86" s="12"/>
      <c r="Y86" s="12"/>
      <c r="Z86" s="12"/>
      <c r="AA86" s="12"/>
      <c r="AB86" s="14"/>
      <c r="AC86" s="15"/>
      <c r="AD86" s="12"/>
      <c r="AE86" s="12"/>
      <c r="AF86" s="14"/>
      <c r="AG86" s="18"/>
      <c r="AH86" s="18"/>
      <c r="AI86" s="17"/>
      <c r="AJ86" s="181"/>
      <c r="AK86" s="13"/>
      <c r="AL86" s="181"/>
      <c r="AM86" s="175"/>
      <c r="AN86" s="192"/>
      <c r="AO86" s="13"/>
      <c r="AP86" s="181"/>
      <c r="AQ86" s="175"/>
      <c r="AR86" s="18"/>
      <c r="AS86" s="12"/>
      <c r="AT86" s="12"/>
      <c r="AU86" s="12"/>
      <c r="AV86" s="12"/>
      <c r="AW86" s="137"/>
      <c r="AX86" s="13"/>
      <c r="AY86" s="138"/>
      <c r="AZ86" s="140"/>
      <c r="BA86" s="18"/>
      <c r="BB86" s="18" t="e">
        <f>IF(#REF!&lt;&gt;0,IF(LL[[#This Row],[Date of Birth]]&lt;&gt;0,YEAR(#REF!-LL[[#This Row],[Date of Birth]])-1900,""),"")</f>
        <v>#REF!</v>
      </c>
      <c r="BC86" s="2" t="str">
        <f>IF(LL[[#This Row],[Sx Onset Date]]&gt;0,LL[[#This Row],[Sx Onset Date]],"")</f>
        <v/>
      </c>
      <c r="BD86" s="2" t="str">
        <f>IF(LL[[#This Row],[Lab-confirmed?]]="Y",LL[[#This Row],[Test Date]],"")</f>
        <v/>
      </c>
      <c r="BE86" s="2" t="str">
        <f>IF(LL[[#This Row],[Lab-confirmed?]]="Y",LL[[#This Row],[Test Date 2]],"")</f>
        <v/>
      </c>
      <c r="BF86" s="139" t="str">
        <f>IF(LL[[#This Row],[Date Reported to Public Health]]&gt;0,LL[[#This Row],[Date Reported to Public Health]],"")</f>
        <v/>
      </c>
      <c r="BG86" s="13" t="str">
        <f t="shared" si="1"/>
        <v/>
      </c>
    </row>
    <row r="87" spans="1:59" x14ac:dyDescent="0.3">
      <c r="A87" s="11">
        <v>83</v>
      </c>
      <c r="B87" s="12"/>
      <c r="C87" s="13"/>
      <c r="D87" s="12"/>
      <c r="E87" s="12"/>
      <c r="F87" s="12"/>
      <c r="G87" s="16"/>
      <c r="H87" s="12"/>
      <c r="I87" s="14"/>
      <c r="J87" s="137"/>
      <c r="K87" s="137"/>
      <c r="L87" s="18"/>
      <c r="M87" s="139"/>
      <c r="N87" s="140"/>
      <c r="O87" s="137"/>
      <c r="P87" s="137"/>
      <c r="Q87" s="15"/>
      <c r="R87" s="12"/>
      <c r="S87" s="12"/>
      <c r="T87" s="12"/>
      <c r="U87" s="14"/>
      <c r="V87" s="15"/>
      <c r="W87" s="12"/>
      <c r="X87" s="12"/>
      <c r="Y87" s="12"/>
      <c r="Z87" s="12"/>
      <c r="AA87" s="12"/>
      <c r="AB87" s="14"/>
      <c r="AC87" s="15"/>
      <c r="AD87" s="12"/>
      <c r="AE87" s="12"/>
      <c r="AF87" s="14"/>
      <c r="AG87" s="18"/>
      <c r="AH87" s="18"/>
      <c r="AI87" s="17"/>
      <c r="AJ87" s="181"/>
      <c r="AK87" s="13"/>
      <c r="AL87" s="181"/>
      <c r="AM87" s="175"/>
      <c r="AN87" s="192"/>
      <c r="AO87" s="13"/>
      <c r="AP87" s="181"/>
      <c r="AQ87" s="175"/>
      <c r="AR87" s="18"/>
      <c r="AS87" s="12"/>
      <c r="AT87" s="12"/>
      <c r="AU87" s="12"/>
      <c r="AV87" s="12"/>
      <c r="AW87" s="137"/>
      <c r="AX87" s="13"/>
      <c r="AY87" s="138"/>
      <c r="AZ87" s="140"/>
      <c r="BA87" s="18"/>
      <c r="BB87" s="18" t="e">
        <f>IF(#REF!&lt;&gt;0,IF(LL[[#This Row],[Date of Birth]]&lt;&gt;0,YEAR(#REF!-LL[[#This Row],[Date of Birth]])-1900,""),"")</f>
        <v>#REF!</v>
      </c>
      <c r="BC87" s="2" t="str">
        <f>IF(LL[[#This Row],[Sx Onset Date]]&gt;0,LL[[#This Row],[Sx Onset Date]],"")</f>
        <v/>
      </c>
      <c r="BD87" s="2" t="str">
        <f>IF(LL[[#This Row],[Lab-confirmed?]]="Y",LL[[#This Row],[Test Date]],"")</f>
        <v/>
      </c>
      <c r="BE87" s="2" t="str">
        <f>IF(LL[[#This Row],[Lab-confirmed?]]="Y",LL[[#This Row],[Test Date 2]],"")</f>
        <v/>
      </c>
      <c r="BF87" s="139" t="str">
        <f>IF(LL[[#This Row],[Date Reported to Public Health]]&gt;0,LL[[#This Row],[Date Reported to Public Health]],"")</f>
        <v/>
      </c>
      <c r="BG87" s="13" t="str">
        <f t="shared" si="1"/>
        <v/>
      </c>
    </row>
    <row r="88" spans="1:59" x14ac:dyDescent="0.3">
      <c r="A88" s="11">
        <v>84</v>
      </c>
      <c r="B88" s="12"/>
      <c r="C88" s="13"/>
      <c r="D88" s="12"/>
      <c r="E88" s="12"/>
      <c r="F88" s="12"/>
      <c r="G88" s="16"/>
      <c r="H88" s="12"/>
      <c r="I88" s="14"/>
      <c r="J88" s="137"/>
      <c r="K88" s="137"/>
      <c r="L88" s="18"/>
      <c r="M88" s="139"/>
      <c r="N88" s="140"/>
      <c r="O88" s="137"/>
      <c r="P88" s="137"/>
      <c r="Q88" s="15"/>
      <c r="R88" s="12"/>
      <c r="S88" s="12"/>
      <c r="T88" s="12"/>
      <c r="U88" s="14"/>
      <c r="V88" s="15"/>
      <c r="W88" s="12"/>
      <c r="X88" s="12"/>
      <c r="Y88" s="12"/>
      <c r="Z88" s="12"/>
      <c r="AA88" s="12"/>
      <c r="AB88" s="14"/>
      <c r="AC88" s="15"/>
      <c r="AD88" s="12"/>
      <c r="AE88" s="12"/>
      <c r="AF88" s="14"/>
      <c r="AG88" s="18"/>
      <c r="AH88" s="18"/>
      <c r="AI88" s="17"/>
      <c r="AJ88" s="181"/>
      <c r="AK88" s="13"/>
      <c r="AL88" s="181"/>
      <c r="AM88" s="175"/>
      <c r="AN88" s="192"/>
      <c r="AO88" s="13"/>
      <c r="AP88" s="181"/>
      <c r="AQ88" s="175"/>
      <c r="AR88" s="18"/>
      <c r="AS88" s="12"/>
      <c r="AT88" s="12"/>
      <c r="AU88" s="12"/>
      <c r="AV88" s="12"/>
      <c r="AW88" s="137"/>
      <c r="AX88" s="13"/>
      <c r="AY88" s="138"/>
      <c r="AZ88" s="140"/>
      <c r="BA88" s="18"/>
      <c r="BB88" s="18" t="e">
        <f>IF(#REF!&lt;&gt;0,IF(LL[[#This Row],[Date of Birth]]&lt;&gt;0,YEAR(#REF!-LL[[#This Row],[Date of Birth]])-1900,""),"")</f>
        <v>#REF!</v>
      </c>
      <c r="BC88" s="2" t="str">
        <f>IF(LL[[#This Row],[Sx Onset Date]]&gt;0,LL[[#This Row],[Sx Onset Date]],"")</f>
        <v/>
      </c>
      <c r="BD88" s="2" t="str">
        <f>IF(LL[[#This Row],[Lab-confirmed?]]="Y",LL[[#This Row],[Test Date]],"")</f>
        <v/>
      </c>
      <c r="BE88" s="2" t="str">
        <f>IF(LL[[#This Row],[Lab-confirmed?]]="Y",LL[[#This Row],[Test Date 2]],"")</f>
        <v/>
      </c>
      <c r="BF88" s="139" t="str">
        <f>IF(LL[[#This Row],[Date Reported to Public Health]]&gt;0,LL[[#This Row],[Date Reported to Public Health]],"")</f>
        <v/>
      </c>
      <c r="BG88" s="13" t="str">
        <f t="shared" si="1"/>
        <v/>
      </c>
    </row>
    <row r="89" spans="1:59" x14ac:dyDescent="0.3">
      <c r="A89" s="11">
        <v>85</v>
      </c>
      <c r="B89" s="12"/>
      <c r="C89" s="13"/>
      <c r="D89" s="12"/>
      <c r="E89" s="12"/>
      <c r="F89" s="12"/>
      <c r="G89" s="16"/>
      <c r="H89" s="12"/>
      <c r="I89" s="14"/>
      <c r="J89" s="137"/>
      <c r="K89" s="137"/>
      <c r="L89" s="18"/>
      <c r="M89" s="139"/>
      <c r="N89" s="140"/>
      <c r="O89" s="137"/>
      <c r="P89" s="137"/>
      <c r="Q89" s="15"/>
      <c r="R89" s="12"/>
      <c r="S89" s="12"/>
      <c r="T89" s="12"/>
      <c r="U89" s="14"/>
      <c r="V89" s="15"/>
      <c r="W89" s="12"/>
      <c r="X89" s="12"/>
      <c r="Y89" s="12"/>
      <c r="Z89" s="12"/>
      <c r="AA89" s="12"/>
      <c r="AB89" s="14"/>
      <c r="AC89" s="15"/>
      <c r="AD89" s="12"/>
      <c r="AE89" s="12"/>
      <c r="AF89" s="14"/>
      <c r="AG89" s="18"/>
      <c r="AH89" s="18"/>
      <c r="AI89" s="17"/>
      <c r="AJ89" s="181"/>
      <c r="AK89" s="13"/>
      <c r="AL89" s="181"/>
      <c r="AM89" s="175"/>
      <c r="AN89" s="192"/>
      <c r="AO89" s="13"/>
      <c r="AP89" s="181"/>
      <c r="AQ89" s="175"/>
      <c r="AR89" s="18"/>
      <c r="AS89" s="12"/>
      <c r="AT89" s="12"/>
      <c r="AU89" s="12"/>
      <c r="AV89" s="12"/>
      <c r="AW89" s="137"/>
      <c r="AX89" s="13"/>
      <c r="AY89" s="138"/>
      <c r="AZ89" s="140"/>
      <c r="BA89" s="18"/>
      <c r="BB89" s="18" t="e">
        <f>IF(#REF!&lt;&gt;0,IF(LL[[#This Row],[Date of Birth]]&lt;&gt;0,YEAR(#REF!-LL[[#This Row],[Date of Birth]])-1900,""),"")</f>
        <v>#REF!</v>
      </c>
      <c r="BC89" s="2" t="str">
        <f>IF(LL[[#This Row],[Sx Onset Date]]&gt;0,LL[[#This Row],[Sx Onset Date]],"")</f>
        <v/>
      </c>
      <c r="BD89" s="2" t="str">
        <f>IF(LL[[#This Row],[Lab-confirmed?]]="Y",LL[[#This Row],[Test Date]],"")</f>
        <v/>
      </c>
      <c r="BE89" s="2" t="str">
        <f>IF(LL[[#This Row],[Lab-confirmed?]]="Y",LL[[#This Row],[Test Date 2]],"")</f>
        <v/>
      </c>
      <c r="BF89" s="139" t="str">
        <f>IF(LL[[#This Row],[Date Reported to Public Health]]&gt;0,LL[[#This Row],[Date Reported to Public Health]],"")</f>
        <v/>
      </c>
      <c r="BG89" s="13" t="str">
        <f t="shared" si="1"/>
        <v/>
      </c>
    </row>
    <row r="90" spans="1:59" x14ac:dyDescent="0.3">
      <c r="A90" s="11">
        <v>86</v>
      </c>
      <c r="B90" s="12"/>
      <c r="C90" s="13"/>
      <c r="D90" s="12"/>
      <c r="E90" s="12"/>
      <c r="F90" s="12"/>
      <c r="G90" s="16"/>
      <c r="H90" s="12"/>
      <c r="I90" s="14"/>
      <c r="J90" s="137"/>
      <c r="K90" s="137"/>
      <c r="L90" s="18"/>
      <c r="M90" s="139"/>
      <c r="N90" s="140"/>
      <c r="O90" s="137"/>
      <c r="P90" s="137"/>
      <c r="Q90" s="15"/>
      <c r="R90" s="12"/>
      <c r="S90" s="12"/>
      <c r="T90" s="12"/>
      <c r="U90" s="14"/>
      <c r="V90" s="15"/>
      <c r="W90" s="12"/>
      <c r="X90" s="12"/>
      <c r="Y90" s="12"/>
      <c r="Z90" s="12"/>
      <c r="AA90" s="12"/>
      <c r="AB90" s="14"/>
      <c r="AC90" s="15"/>
      <c r="AD90" s="12"/>
      <c r="AE90" s="12"/>
      <c r="AF90" s="14"/>
      <c r="AG90" s="18"/>
      <c r="AH90" s="18"/>
      <c r="AI90" s="17"/>
      <c r="AJ90" s="181"/>
      <c r="AK90" s="13"/>
      <c r="AL90" s="181"/>
      <c r="AM90" s="175"/>
      <c r="AN90" s="192"/>
      <c r="AO90" s="13"/>
      <c r="AP90" s="181"/>
      <c r="AQ90" s="175"/>
      <c r="AR90" s="18"/>
      <c r="AS90" s="12"/>
      <c r="AT90" s="12"/>
      <c r="AU90" s="12"/>
      <c r="AV90" s="12"/>
      <c r="AW90" s="137"/>
      <c r="AX90" s="13"/>
      <c r="AY90" s="138"/>
      <c r="AZ90" s="140"/>
      <c r="BA90" s="18"/>
      <c r="BB90" s="18" t="e">
        <f>IF(#REF!&lt;&gt;0,IF(LL[[#This Row],[Date of Birth]]&lt;&gt;0,YEAR(#REF!-LL[[#This Row],[Date of Birth]])-1900,""),"")</f>
        <v>#REF!</v>
      </c>
      <c r="BC90" s="2" t="str">
        <f>IF(LL[[#This Row],[Sx Onset Date]]&gt;0,LL[[#This Row],[Sx Onset Date]],"")</f>
        <v/>
      </c>
      <c r="BD90" s="2" t="str">
        <f>IF(LL[[#This Row],[Lab-confirmed?]]="Y",LL[[#This Row],[Test Date]],"")</f>
        <v/>
      </c>
      <c r="BE90" s="2" t="str">
        <f>IF(LL[[#This Row],[Lab-confirmed?]]="Y",LL[[#This Row],[Test Date 2]],"")</f>
        <v/>
      </c>
      <c r="BF90" s="139" t="str">
        <f>IF(LL[[#This Row],[Date Reported to Public Health]]&gt;0,LL[[#This Row],[Date Reported to Public Health]],"")</f>
        <v/>
      </c>
      <c r="BG90" s="13" t="str">
        <f t="shared" si="1"/>
        <v/>
      </c>
    </row>
    <row r="91" spans="1:59" x14ac:dyDescent="0.3">
      <c r="A91" s="11">
        <v>87</v>
      </c>
      <c r="B91" s="12"/>
      <c r="C91" s="13"/>
      <c r="D91" s="12"/>
      <c r="E91" s="12"/>
      <c r="F91" s="12"/>
      <c r="G91" s="16"/>
      <c r="H91" s="12"/>
      <c r="I91" s="14"/>
      <c r="J91" s="137"/>
      <c r="K91" s="137"/>
      <c r="L91" s="18"/>
      <c r="M91" s="139"/>
      <c r="N91" s="140"/>
      <c r="O91" s="137"/>
      <c r="P91" s="137"/>
      <c r="Q91" s="15"/>
      <c r="R91" s="12"/>
      <c r="S91" s="12"/>
      <c r="T91" s="12"/>
      <c r="U91" s="14"/>
      <c r="V91" s="15"/>
      <c r="W91" s="12"/>
      <c r="X91" s="12"/>
      <c r="Y91" s="12"/>
      <c r="Z91" s="12"/>
      <c r="AA91" s="12"/>
      <c r="AB91" s="14"/>
      <c r="AC91" s="15"/>
      <c r="AD91" s="12"/>
      <c r="AE91" s="12"/>
      <c r="AF91" s="14"/>
      <c r="AG91" s="18"/>
      <c r="AH91" s="18"/>
      <c r="AI91" s="17"/>
      <c r="AJ91" s="181"/>
      <c r="AK91" s="13"/>
      <c r="AL91" s="181"/>
      <c r="AM91" s="175"/>
      <c r="AN91" s="192"/>
      <c r="AO91" s="13"/>
      <c r="AP91" s="181"/>
      <c r="AQ91" s="175"/>
      <c r="AR91" s="18"/>
      <c r="AS91" s="12"/>
      <c r="AT91" s="12"/>
      <c r="AU91" s="12"/>
      <c r="AV91" s="12"/>
      <c r="AW91" s="137"/>
      <c r="AX91" s="13"/>
      <c r="AY91" s="138"/>
      <c r="AZ91" s="140"/>
      <c r="BA91" s="18"/>
      <c r="BB91" s="18" t="e">
        <f>IF(#REF!&lt;&gt;0,IF(LL[[#This Row],[Date of Birth]]&lt;&gt;0,YEAR(#REF!-LL[[#This Row],[Date of Birth]])-1900,""),"")</f>
        <v>#REF!</v>
      </c>
      <c r="BC91" s="2" t="str">
        <f>IF(LL[[#This Row],[Sx Onset Date]]&gt;0,LL[[#This Row],[Sx Onset Date]],"")</f>
        <v/>
      </c>
      <c r="BD91" s="2" t="str">
        <f>IF(LL[[#This Row],[Lab-confirmed?]]="Y",LL[[#This Row],[Test Date]],"")</f>
        <v/>
      </c>
      <c r="BE91" s="2" t="str">
        <f>IF(LL[[#This Row],[Lab-confirmed?]]="Y",LL[[#This Row],[Test Date 2]],"")</f>
        <v/>
      </c>
      <c r="BF91" s="139" t="str">
        <f>IF(LL[[#This Row],[Date Reported to Public Health]]&gt;0,LL[[#This Row],[Date Reported to Public Health]],"")</f>
        <v/>
      </c>
      <c r="BG91" s="13" t="str">
        <f t="shared" si="1"/>
        <v/>
      </c>
    </row>
    <row r="92" spans="1:59" x14ac:dyDescent="0.3">
      <c r="A92" s="11">
        <v>88</v>
      </c>
      <c r="B92" s="12"/>
      <c r="C92" s="13"/>
      <c r="D92" s="12"/>
      <c r="E92" s="12"/>
      <c r="F92" s="12"/>
      <c r="G92" s="16"/>
      <c r="H92" s="12"/>
      <c r="I92" s="14"/>
      <c r="J92" s="137"/>
      <c r="K92" s="137"/>
      <c r="L92" s="18"/>
      <c r="M92" s="139"/>
      <c r="N92" s="140"/>
      <c r="O92" s="137"/>
      <c r="P92" s="137"/>
      <c r="Q92" s="15"/>
      <c r="R92" s="12"/>
      <c r="S92" s="12"/>
      <c r="T92" s="12"/>
      <c r="U92" s="14"/>
      <c r="V92" s="15"/>
      <c r="W92" s="12"/>
      <c r="X92" s="12"/>
      <c r="Y92" s="12"/>
      <c r="Z92" s="12"/>
      <c r="AA92" s="12"/>
      <c r="AB92" s="14"/>
      <c r="AC92" s="15"/>
      <c r="AD92" s="12"/>
      <c r="AE92" s="12"/>
      <c r="AF92" s="14"/>
      <c r="AG92" s="18"/>
      <c r="AH92" s="18"/>
      <c r="AI92" s="17"/>
      <c r="AJ92" s="181"/>
      <c r="AK92" s="13"/>
      <c r="AL92" s="181"/>
      <c r="AM92" s="175"/>
      <c r="AN92" s="192"/>
      <c r="AO92" s="13"/>
      <c r="AP92" s="181"/>
      <c r="AQ92" s="175"/>
      <c r="AR92" s="18"/>
      <c r="AS92" s="12"/>
      <c r="AT92" s="12"/>
      <c r="AU92" s="12"/>
      <c r="AV92" s="12"/>
      <c r="AW92" s="137"/>
      <c r="AX92" s="13"/>
      <c r="AY92" s="138"/>
      <c r="AZ92" s="140"/>
      <c r="BA92" s="18"/>
      <c r="BB92" s="18" t="e">
        <f>IF(#REF!&lt;&gt;0,IF(LL[[#This Row],[Date of Birth]]&lt;&gt;0,YEAR(#REF!-LL[[#This Row],[Date of Birth]])-1900,""),"")</f>
        <v>#REF!</v>
      </c>
      <c r="BC92" s="2" t="str">
        <f>IF(LL[[#This Row],[Sx Onset Date]]&gt;0,LL[[#This Row],[Sx Onset Date]],"")</f>
        <v/>
      </c>
      <c r="BD92" s="2" t="str">
        <f>IF(LL[[#This Row],[Lab-confirmed?]]="Y",LL[[#This Row],[Test Date]],"")</f>
        <v/>
      </c>
      <c r="BE92" s="2" t="str">
        <f>IF(LL[[#This Row],[Lab-confirmed?]]="Y",LL[[#This Row],[Test Date 2]],"")</f>
        <v/>
      </c>
      <c r="BF92" s="139" t="str">
        <f>IF(LL[[#This Row],[Date Reported to Public Health]]&gt;0,LL[[#This Row],[Date Reported to Public Health]],"")</f>
        <v/>
      </c>
      <c r="BG92" s="13" t="str">
        <f t="shared" si="1"/>
        <v/>
      </c>
    </row>
    <row r="93" spans="1:59" x14ac:dyDescent="0.3">
      <c r="A93" s="11">
        <v>89</v>
      </c>
      <c r="B93" s="12"/>
      <c r="C93" s="13"/>
      <c r="D93" s="12"/>
      <c r="E93" s="12"/>
      <c r="F93" s="12"/>
      <c r="G93" s="16"/>
      <c r="H93" s="12"/>
      <c r="I93" s="14"/>
      <c r="J93" s="137"/>
      <c r="K93" s="137"/>
      <c r="L93" s="18"/>
      <c r="M93" s="139"/>
      <c r="N93" s="140"/>
      <c r="O93" s="137"/>
      <c r="P93" s="137"/>
      <c r="Q93" s="15"/>
      <c r="R93" s="12"/>
      <c r="S93" s="12"/>
      <c r="T93" s="12"/>
      <c r="U93" s="14"/>
      <c r="V93" s="15"/>
      <c r="W93" s="12"/>
      <c r="X93" s="12"/>
      <c r="Y93" s="12"/>
      <c r="Z93" s="12"/>
      <c r="AA93" s="12"/>
      <c r="AB93" s="14"/>
      <c r="AC93" s="15"/>
      <c r="AD93" s="12"/>
      <c r="AE93" s="12"/>
      <c r="AF93" s="14"/>
      <c r="AG93" s="18"/>
      <c r="AH93" s="18"/>
      <c r="AI93" s="17"/>
      <c r="AJ93" s="181"/>
      <c r="AK93" s="13"/>
      <c r="AL93" s="181"/>
      <c r="AM93" s="175"/>
      <c r="AN93" s="192"/>
      <c r="AO93" s="13"/>
      <c r="AP93" s="181"/>
      <c r="AQ93" s="175"/>
      <c r="AR93" s="18"/>
      <c r="AS93" s="12"/>
      <c r="AT93" s="12"/>
      <c r="AU93" s="12"/>
      <c r="AV93" s="12"/>
      <c r="AW93" s="137"/>
      <c r="AX93" s="13"/>
      <c r="AY93" s="138"/>
      <c r="AZ93" s="140"/>
      <c r="BA93" s="18"/>
      <c r="BB93" s="18" t="e">
        <f>IF(#REF!&lt;&gt;0,IF(LL[[#This Row],[Date of Birth]]&lt;&gt;0,YEAR(#REF!-LL[[#This Row],[Date of Birth]])-1900,""),"")</f>
        <v>#REF!</v>
      </c>
      <c r="BC93" s="2" t="str">
        <f>IF(LL[[#This Row],[Sx Onset Date]]&gt;0,LL[[#This Row],[Sx Onset Date]],"")</f>
        <v/>
      </c>
      <c r="BD93" s="2" t="str">
        <f>IF(LL[[#This Row],[Lab-confirmed?]]="Y",LL[[#This Row],[Test Date]],"")</f>
        <v/>
      </c>
      <c r="BE93" s="2" t="str">
        <f>IF(LL[[#This Row],[Lab-confirmed?]]="Y",LL[[#This Row],[Test Date 2]],"")</f>
        <v/>
      </c>
      <c r="BF93" s="139" t="str">
        <f>IF(LL[[#This Row],[Date Reported to Public Health]]&gt;0,LL[[#This Row],[Date Reported to Public Health]],"")</f>
        <v/>
      </c>
      <c r="BG93" s="13" t="str">
        <f t="shared" si="1"/>
        <v/>
      </c>
    </row>
    <row r="94" spans="1:59" x14ac:dyDescent="0.3">
      <c r="A94" s="11">
        <v>90</v>
      </c>
      <c r="B94" s="12"/>
      <c r="C94" s="13"/>
      <c r="D94" s="12"/>
      <c r="E94" s="12"/>
      <c r="F94" s="12"/>
      <c r="G94" s="16"/>
      <c r="H94" s="12"/>
      <c r="I94" s="14"/>
      <c r="J94" s="137"/>
      <c r="K94" s="137"/>
      <c r="L94" s="18"/>
      <c r="M94" s="139"/>
      <c r="N94" s="140"/>
      <c r="O94" s="137"/>
      <c r="P94" s="137"/>
      <c r="Q94" s="15"/>
      <c r="R94" s="12"/>
      <c r="S94" s="12"/>
      <c r="T94" s="12"/>
      <c r="U94" s="14"/>
      <c r="V94" s="15"/>
      <c r="W94" s="12"/>
      <c r="X94" s="12"/>
      <c r="Y94" s="12"/>
      <c r="Z94" s="12"/>
      <c r="AA94" s="12"/>
      <c r="AB94" s="14"/>
      <c r="AC94" s="15"/>
      <c r="AD94" s="12"/>
      <c r="AE94" s="12"/>
      <c r="AF94" s="14"/>
      <c r="AG94" s="18"/>
      <c r="AH94" s="18"/>
      <c r="AI94" s="17"/>
      <c r="AJ94" s="181"/>
      <c r="AK94" s="13"/>
      <c r="AL94" s="181"/>
      <c r="AM94" s="175"/>
      <c r="AN94" s="192"/>
      <c r="AO94" s="13"/>
      <c r="AP94" s="181"/>
      <c r="AQ94" s="175"/>
      <c r="AR94" s="18"/>
      <c r="AS94" s="12"/>
      <c r="AT94" s="12"/>
      <c r="AU94" s="12"/>
      <c r="AV94" s="12"/>
      <c r="AW94" s="137"/>
      <c r="AX94" s="13"/>
      <c r="AY94" s="138"/>
      <c r="AZ94" s="140"/>
      <c r="BA94" s="18"/>
      <c r="BB94" s="18" t="e">
        <f>IF(#REF!&lt;&gt;0,IF(LL[[#This Row],[Date of Birth]]&lt;&gt;0,YEAR(#REF!-LL[[#This Row],[Date of Birth]])-1900,""),"")</f>
        <v>#REF!</v>
      </c>
      <c r="BC94" s="2" t="str">
        <f>IF(LL[[#This Row],[Sx Onset Date]]&gt;0,LL[[#This Row],[Sx Onset Date]],"")</f>
        <v/>
      </c>
      <c r="BD94" s="2" t="str">
        <f>IF(LL[[#This Row],[Lab-confirmed?]]="Y",LL[[#This Row],[Test Date]],"")</f>
        <v/>
      </c>
      <c r="BE94" s="2" t="str">
        <f>IF(LL[[#This Row],[Lab-confirmed?]]="Y",LL[[#This Row],[Test Date 2]],"")</f>
        <v/>
      </c>
      <c r="BF94" s="139" t="str">
        <f>IF(LL[[#This Row],[Date Reported to Public Health]]&gt;0,LL[[#This Row],[Date Reported to Public Health]],"")</f>
        <v/>
      </c>
      <c r="BG94" s="13" t="str">
        <f t="shared" si="1"/>
        <v/>
      </c>
    </row>
    <row r="95" spans="1:59" x14ac:dyDescent="0.3">
      <c r="A95" s="11">
        <v>91</v>
      </c>
      <c r="B95" s="12"/>
      <c r="C95" s="13"/>
      <c r="D95" s="12"/>
      <c r="E95" s="12"/>
      <c r="F95" s="12"/>
      <c r="G95" s="16"/>
      <c r="H95" s="12"/>
      <c r="I95" s="14"/>
      <c r="J95" s="137"/>
      <c r="K95" s="137"/>
      <c r="L95" s="18"/>
      <c r="M95" s="139"/>
      <c r="N95" s="140"/>
      <c r="O95" s="137"/>
      <c r="P95" s="137"/>
      <c r="Q95" s="15"/>
      <c r="R95" s="12"/>
      <c r="S95" s="12"/>
      <c r="T95" s="12"/>
      <c r="U95" s="14"/>
      <c r="V95" s="15"/>
      <c r="W95" s="12"/>
      <c r="X95" s="12"/>
      <c r="Y95" s="12"/>
      <c r="Z95" s="12"/>
      <c r="AA95" s="12"/>
      <c r="AB95" s="14"/>
      <c r="AC95" s="15"/>
      <c r="AD95" s="12"/>
      <c r="AE95" s="12"/>
      <c r="AF95" s="14"/>
      <c r="AG95" s="18"/>
      <c r="AH95" s="18"/>
      <c r="AI95" s="17"/>
      <c r="AJ95" s="181"/>
      <c r="AK95" s="13"/>
      <c r="AL95" s="181"/>
      <c r="AM95" s="175"/>
      <c r="AN95" s="192"/>
      <c r="AO95" s="13"/>
      <c r="AP95" s="181"/>
      <c r="AQ95" s="175"/>
      <c r="AR95" s="18"/>
      <c r="AS95" s="12"/>
      <c r="AT95" s="12"/>
      <c r="AU95" s="12"/>
      <c r="AV95" s="12"/>
      <c r="AW95" s="137"/>
      <c r="AX95" s="13"/>
      <c r="AY95" s="138"/>
      <c r="AZ95" s="140"/>
      <c r="BA95" s="18"/>
      <c r="BB95" s="18" t="e">
        <f>IF(#REF!&lt;&gt;0,IF(LL[[#This Row],[Date of Birth]]&lt;&gt;0,YEAR(#REF!-LL[[#This Row],[Date of Birth]])-1900,""),"")</f>
        <v>#REF!</v>
      </c>
      <c r="BC95" s="2" t="str">
        <f>IF(LL[[#This Row],[Sx Onset Date]]&gt;0,LL[[#This Row],[Sx Onset Date]],"")</f>
        <v/>
      </c>
      <c r="BD95" s="2" t="str">
        <f>IF(LL[[#This Row],[Lab-confirmed?]]="Y",LL[[#This Row],[Test Date]],"")</f>
        <v/>
      </c>
      <c r="BE95" s="2" t="str">
        <f>IF(LL[[#This Row],[Lab-confirmed?]]="Y",LL[[#This Row],[Test Date 2]],"")</f>
        <v/>
      </c>
      <c r="BF95" s="139" t="str">
        <f>IF(LL[[#This Row],[Date Reported to Public Health]]&gt;0,LL[[#This Row],[Date Reported to Public Health]],"")</f>
        <v/>
      </c>
      <c r="BG95" s="13" t="str">
        <f t="shared" si="1"/>
        <v/>
      </c>
    </row>
    <row r="96" spans="1:59" x14ac:dyDescent="0.3">
      <c r="A96" s="11">
        <v>92</v>
      </c>
      <c r="B96" s="12"/>
      <c r="C96" s="13"/>
      <c r="D96" s="12"/>
      <c r="E96" s="12"/>
      <c r="F96" s="12"/>
      <c r="G96" s="16"/>
      <c r="H96" s="12"/>
      <c r="I96" s="14"/>
      <c r="J96" s="137"/>
      <c r="K96" s="137"/>
      <c r="L96" s="18"/>
      <c r="M96" s="139"/>
      <c r="N96" s="140"/>
      <c r="O96" s="137"/>
      <c r="P96" s="137"/>
      <c r="Q96" s="15"/>
      <c r="R96" s="12"/>
      <c r="S96" s="12"/>
      <c r="T96" s="12"/>
      <c r="U96" s="14"/>
      <c r="V96" s="15"/>
      <c r="W96" s="12"/>
      <c r="X96" s="12"/>
      <c r="Y96" s="12"/>
      <c r="Z96" s="12"/>
      <c r="AA96" s="12"/>
      <c r="AB96" s="14"/>
      <c r="AC96" s="15"/>
      <c r="AD96" s="12"/>
      <c r="AE96" s="12"/>
      <c r="AF96" s="14"/>
      <c r="AG96" s="18"/>
      <c r="AH96" s="18"/>
      <c r="AI96" s="17"/>
      <c r="AJ96" s="181"/>
      <c r="AK96" s="13"/>
      <c r="AL96" s="181"/>
      <c r="AM96" s="175"/>
      <c r="AN96" s="192"/>
      <c r="AO96" s="13"/>
      <c r="AP96" s="181"/>
      <c r="AQ96" s="175"/>
      <c r="AR96" s="18"/>
      <c r="AS96" s="12"/>
      <c r="AT96" s="12"/>
      <c r="AU96" s="12"/>
      <c r="AV96" s="12"/>
      <c r="AW96" s="137"/>
      <c r="AX96" s="13"/>
      <c r="AY96" s="138"/>
      <c r="AZ96" s="140"/>
      <c r="BA96" s="18"/>
      <c r="BB96" s="18" t="e">
        <f>IF(#REF!&lt;&gt;0,IF(LL[[#This Row],[Date of Birth]]&lt;&gt;0,YEAR(#REF!-LL[[#This Row],[Date of Birth]])-1900,""),"")</f>
        <v>#REF!</v>
      </c>
      <c r="BC96" s="2" t="str">
        <f>IF(LL[[#This Row],[Sx Onset Date]]&gt;0,LL[[#This Row],[Sx Onset Date]],"")</f>
        <v/>
      </c>
      <c r="BD96" s="2" t="str">
        <f>IF(LL[[#This Row],[Lab-confirmed?]]="Y",LL[[#This Row],[Test Date]],"")</f>
        <v/>
      </c>
      <c r="BE96" s="2" t="str">
        <f>IF(LL[[#This Row],[Lab-confirmed?]]="Y",LL[[#This Row],[Test Date 2]],"")</f>
        <v/>
      </c>
      <c r="BF96" s="139" t="str">
        <f>IF(LL[[#This Row],[Date Reported to Public Health]]&gt;0,LL[[#This Row],[Date Reported to Public Health]],"")</f>
        <v/>
      </c>
      <c r="BG96" s="13" t="str">
        <f t="shared" si="1"/>
        <v/>
      </c>
    </row>
    <row r="97" spans="1:59" x14ac:dyDescent="0.3">
      <c r="A97" s="11">
        <v>93</v>
      </c>
      <c r="B97" s="12"/>
      <c r="C97" s="13"/>
      <c r="D97" s="12"/>
      <c r="E97" s="12"/>
      <c r="F97" s="12"/>
      <c r="G97" s="16"/>
      <c r="H97" s="12"/>
      <c r="I97" s="14"/>
      <c r="J97" s="137"/>
      <c r="K97" s="137"/>
      <c r="L97" s="18"/>
      <c r="M97" s="139"/>
      <c r="N97" s="140"/>
      <c r="O97" s="137"/>
      <c r="P97" s="137"/>
      <c r="Q97" s="15"/>
      <c r="R97" s="12"/>
      <c r="S97" s="12"/>
      <c r="T97" s="12"/>
      <c r="U97" s="14"/>
      <c r="V97" s="15"/>
      <c r="W97" s="12"/>
      <c r="X97" s="12"/>
      <c r="Y97" s="12"/>
      <c r="Z97" s="12"/>
      <c r="AA97" s="12"/>
      <c r="AB97" s="14"/>
      <c r="AC97" s="15"/>
      <c r="AD97" s="12"/>
      <c r="AE97" s="12"/>
      <c r="AF97" s="14"/>
      <c r="AG97" s="18"/>
      <c r="AH97" s="18"/>
      <c r="AI97" s="17"/>
      <c r="AJ97" s="181"/>
      <c r="AK97" s="13"/>
      <c r="AL97" s="181"/>
      <c r="AM97" s="175"/>
      <c r="AN97" s="192"/>
      <c r="AO97" s="13"/>
      <c r="AP97" s="181"/>
      <c r="AQ97" s="175"/>
      <c r="AR97" s="18"/>
      <c r="AS97" s="12"/>
      <c r="AT97" s="12"/>
      <c r="AU97" s="12"/>
      <c r="AV97" s="12"/>
      <c r="AW97" s="137"/>
      <c r="AX97" s="13"/>
      <c r="AY97" s="138"/>
      <c r="AZ97" s="140"/>
      <c r="BA97" s="18"/>
      <c r="BB97" s="18" t="e">
        <f>IF(#REF!&lt;&gt;0,IF(LL[[#This Row],[Date of Birth]]&lt;&gt;0,YEAR(#REF!-LL[[#This Row],[Date of Birth]])-1900,""),"")</f>
        <v>#REF!</v>
      </c>
      <c r="BC97" s="2" t="str">
        <f>IF(LL[[#This Row],[Sx Onset Date]]&gt;0,LL[[#This Row],[Sx Onset Date]],"")</f>
        <v/>
      </c>
      <c r="BD97" s="2" t="str">
        <f>IF(LL[[#This Row],[Lab-confirmed?]]="Y",LL[[#This Row],[Test Date]],"")</f>
        <v/>
      </c>
      <c r="BE97" s="2" t="str">
        <f>IF(LL[[#This Row],[Lab-confirmed?]]="Y",LL[[#This Row],[Test Date 2]],"")</f>
        <v/>
      </c>
      <c r="BF97" s="139" t="str">
        <f>IF(LL[[#This Row],[Date Reported to Public Health]]&gt;0,LL[[#This Row],[Date Reported to Public Health]],"")</f>
        <v/>
      </c>
      <c r="BG97" s="13" t="str">
        <f t="shared" si="1"/>
        <v/>
      </c>
    </row>
    <row r="98" spans="1:59" x14ac:dyDescent="0.3">
      <c r="A98" s="11">
        <v>94</v>
      </c>
      <c r="B98" s="12"/>
      <c r="C98" s="13"/>
      <c r="D98" s="12"/>
      <c r="E98" s="12"/>
      <c r="F98" s="12"/>
      <c r="G98" s="16"/>
      <c r="H98" s="12"/>
      <c r="I98" s="14"/>
      <c r="J98" s="137"/>
      <c r="K98" s="137"/>
      <c r="L98" s="18"/>
      <c r="M98" s="139"/>
      <c r="N98" s="140"/>
      <c r="O98" s="137"/>
      <c r="P98" s="137"/>
      <c r="Q98" s="15"/>
      <c r="R98" s="12"/>
      <c r="S98" s="12"/>
      <c r="T98" s="12"/>
      <c r="U98" s="14"/>
      <c r="V98" s="15"/>
      <c r="W98" s="12"/>
      <c r="X98" s="12"/>
      <c r="Y98" s="12"/>
      <c r="Z98" s="12"/>
      <c r="AA98" s="12"/>
      <c r="AB98" s="14"/>
      <c r="AC98" s="15"/>
      <c r="AD98" s="12"/>
      <c r="AE98" s="12"/>
      <c r="AF98" s="14"/>
      <c r="AG98" s="18"/>
      <c r="AH98" s="18"/>
      <c r="AI98" s="17"/>
      <c r="AJ98" s="181"/>
      <c r="AK98" s="13"/>
      <c r="AL98" s="181"/>
      <c r="AM98" s="175"/>
      <c r="AN98" s="192"/>
      <c r="AO98" s="13"/>
      <c r="AP98" s="181"/>
      <c r="AQ98" s="175"/>
      <c r="AR98" s="18"/>
      <c r="AS98" s="12"/>
      <c r="AT98" s="12"/>
      <c r="AU98" s="12"/>
      <c r="AV98" s="12"/>
      <c r="AW98" s="137"/>
      <c r="AX98" s="13"/>
      <c r="AY98" s="138"/>
      <c r="AZ98" s="140"/>
      <c r="BA98" s="18"/>
      <c r="BB98" s="18" t="e">
        <f>IF(#REF!&lt;&gt;0,IF(LL[[#This Row],[Date of Birth]]&lt;&gt;0,YEAR(#REF!-LL[[#This Row],[Date of Birth]])-1900,""),"")</f>
        <v>#REF!</v>
      </c>
      <c r="BC98" s="2" t="str">
        <f>IF(LL[[#This Row],[Sx Onset Date]]&gt;0,LL[[#This Row],[Sx Onset Date]],"")</f>
        <v/>
      </c>
      <c r="BD98" s="2" t="str">
        <f>IF(LL[[#This Row],[Lab-confirmed?]]="Y",LL[[#This Row],[Test Date]],"")</f>
        <v/>
      </c>
      <c r="BE98" s="2" t="str">
        <f>IF(LL[[#This Row],[Lab-confirmed?]]="Y",LL[[#This Row],[Test Date 2]],"")</f>
        <v/>
      </c>
      <c r="BF98" s="139" t="str">
        <f>IF(LL[[#This Row],[Date Reported to Public Health]]&gt;0,LL[[#This Row],[Date Reported to Public Health]],"")</f>
        <v/>
      </c>
      <c r="BG98" s="13" t="str">
        <f t="shared" si="1"/>
        <v/>
      </c>
    </row>
    <row r="99" spans="1:59" x14ac:dyDescent="0.3">
      <c r="A99" s="11">
        <v>95</v>
      </c>
      <c r="B99" s="12"/>
      <c r="C99" s="13"/>
      <c r="D99" s="12"/>
      <c r="E99" s="12"/>
      <c r="F99" s="12"/>
      <c r="G99" s="16"/>
      <c r="H99" s="12"/>
      <c r="I99" s="14"/>
      <c r="J99" s="137"/>
      <c r="K99" s="137"/>
      <c r="L99" s="18"/>
      <c r="M99" s="139"/>
      <c r="N99" s="140"/>
      <c r="O99" s="137"/>
      <c r="P99" s="137"/>
      <c r="Q99" s="15"/>
      <c r="R99" s="12"/>
      <c r="S99" s="12"/>
      <c r="T99" s="12"/>
      <c r="U99" s="14"/>
      <c r="V99" s="15"/>
      <c r="W99" s="12"/>
      <c r="X99" s="12"/>
      <c r="Y99" s="12"/>
      <c r="Z99" s="12"/>
      <c r="AA99" s="12"/>
      <c r="AB99" s="14"/>
      <c r="AC99" s="15"/>
      <c r="AD99" s="12"/>
      <c r="AE99" s="12"/>
      <c r="AF99" s="14"/>
      <c r="AG99" s="18"/>
      <c r="AH99" s="18"/>
      <c r="AI99" s="17"/>
      <c r="AJ99" s="181"/>
      <c r="AK99" s="13"/>
      <c r="AL99" s="181"/>
      <c r="AM99" s="175"/>
      <c r="AN99" s="192"/>
      <c r="AO99" s="13"/>
      <c r="AP99" s="181"/>
      <c r="AQ99" s="175"/>
      <c r="AR99" s="18"/>
      <c r="AS99" s="12"/>
      <c r="AT99" s="12"/>
      <c r="AU99" s="12"/>
      <c r="AV99" s="12"/>
      <c r="AW99" s="137"/>
      <c r="AX99" s="13"/>
      <c r="AY99" s="138"/>
      <c r="AZ99" s="140"/>
      <c r="BA99" s="18"/>
      <c r="BB99" s="18" t="e">
        <f>IF(#REF!&lt;&gt;0,IF(LL[[#This Row],[Date of Birth]]&lt;&gt;0,YEAR(#REF!-LL[[#This Row],[Date of Birth]])-1900,""),"")</f>
        <v>#REF!</v>
      </c>
      <c r="BC99" s="2" t="str">
        <f>IF(LL[[#This Row],[Sx Onset Date]]&gt;0,LL[[#This Row],[Sx Onset Date]],"")</f>
        <v/>
      </c>
      <c r="BD99" s="2" t="str">
        <f>IF(LL[[#This Row],[Lab-confirmed?]]="Y",LL[[#This Row],[Test Date]],"")</f>
        <v/>
      </c>
      <c r="BE99" s="2" t="str">
        <f>IF(LL[[#This Row],[Lab-confirmed?]]="Y",LL[[#This Row],[Test Date 2]],"")</f>
        <v/>
      </c>
      <c r="BF99" s="139" t="str">
        <f>IF(LL[[#This Row],[Date Reported to Public Health]]&gt;0,LL[[#This Row],[Date Reported to Public Health]],"")</f>
        <v/>
      </c>
      <c r="BG99" s="13" t="str">
        <f t="shared" si="1"/>
        <v/>
      </c>
    </row>
    <row r="100" spans="1:59" x14ac:dyDescent="0.3">
      <c r="A100" s="11">
        <v>96</v>
      </c>
      <c r="B100" s="12"/>
      <c r="C100" s="13"/>
      <c r="D100" s="12"/>
      <c r="E100" s="12"/>
      <c r="F100" s="12"/>
      <c r="G100" s="16"/>
      <c r="H100" s="12"/>
      <c r="I100" s="14"/>
      <c r="J100" s="137"/>
      <c r="K100" s="137"/>
      <c r="L100" s="18"/>
      <c r="M100" s="139"/>
      <c r="N100" s="140"/>
      <c r="O100" s="137"/>
      <c r="P100" s="137"/>
      <c r="Q100" s="15"/>
      <c r="R100" s="12"/>
      <c r="S100" s="12"/>
      <c r="T100" s="12"/>
      <c r="U100" s="14"/>
      <c r="V100" s="15"/>
      <c r="W100" s="12"/>
      <c r="X100" s="12"/>
      <c r="Y100" s="12"/>
      <c r="Z100" s="12"/>
      <c r="AA100" s="12"/>
      <c r="AB100" s="14"/>
      <c r="AC100" s="15"/>
      <c r="AD100" s="12"/>
      <c r="AE100" s="12"/>
      <c r="AF100" s="14"/>
      <c r="AG100" s="18"/>
      <c r="AH100" s="18"/>
      <c r="AI100" s="17"/>
      <c r="AJ100" s="181"/>
      <c r="AK100" s="13"/>
      <c r="AL100" s="181"/>
      <c r="AM100" s="175"/>
      <c r="AN100" s="192"/>
      <c r="AO100" s="13"/>
      <c r="AP100" s="181"/>
      <c r="AQ100" s="175"/>
      <c r="AR100" s="18"/>
      <c r="AS100" s="12"/>
      <c r="AT100" s="12"/>
      <c r="AU100" s="12"/>
      <c r="AV100" s="12"/>
      <c r="AW100" s="137"/>
      <c r="AX100" s="13"/>
      <c r="AY100" s="138"/>
      <c r="AZ100" s="140"/>
      <c r="BA100" s="18"/>
      <c r="BB100" s="18" t="e">
        <f>IF(#REF!&lt;&gt;0,IF(LL[[#This Row],[Date of Birth]]&lt;&gt;0,YEAR(#REF!-LL[[#This Row],[Date of Birth]])-1900,""),"")</f>
        <v>#REF!</v>
      </c>
      <c r="BC100" s="2" t="str">
        <f>IF(LL[[#This Row],[Sx Onset Date]]&gt;0,LL[[#This Row],[Sx Onset Date]],"")</f>
        <v/>
      </c>
      <c r="BD100" s="2" t="str">
        <f>IF(LL[[#This Row],[Lab-confirmed?]]="Y",LL[[#This Row],[Test Date]],"")</f>
        <v/>
      </c>
      <c r="BE100" s="2" t="str">
        <f>IF(LL[[#This Row],[Lab-confirmed?]]="Y",LL[[#This Row],[Test Date 2]],"")</f>
        <v/>
      </c>
      <c r="BF100" s="139" t="str">
        <f>IF(LL[[#This Row],[Date Reported to Public Health]]&gt;0,LL[[#This Row],[Date Reported to Public Health]],"")</f>
        <v/>
      </c>
      <c r="BG100" s="13" t="str">
        <f t="shared" si="1"/>
        <v/>
      </c>
    </row>
    <row r="101" spans="1:59" x14ac:dyDescent="0.3">
      <c r="A101" s="11">
        <v>97</v>
      </c>
      <c r="B101" s="12"/>
      <c r="C101" s="13"/>
      <c r="D101" s="12"/>
      <c r="E101" s="12"/>
      <c r="F101" s="12"/>
      <c r="G101" s="16"/>
      <c r="H101" s="12"/>
      <c r="I101" s="14"/>
      <c r="J101" s="137"/>
      <c r="K101" s="137"/>
      <c r="L101" s="18"/>
      <c r="M101" s="139"/>
      <c r="N101" s="140"/>
      <c r="O101" s="137"/>
      <c r="P101" s="137"/>
      <c r="Q101" s="15"/>
      <c r="R101" s="12"/>
      <c r="S101" s="12"/>
      <c r="T101" s="12"/>
      <c r="U101" s="14"/>
      <c r="V101" s="15"/>
      <c r="W101" s="12"/>
      <c r="X101" s="12"/>
      <c r="Y101" s="12"/>
      <c r="Z101" s="12"/>
      <c r="AA101" s="12"/>
      <c r="AB101" s="14"/>
      <c r="AC101" s="15"/>
      <c r="AD101" s="12"/>
      <c r="AE101" s="12"/>
      <c r="AF101" s="14"/>
      <c r="AG101" s="18"/>
      <c r="AH101" s="18"/>
      <c r="AI101" s="17"/>
      <c r="AJ101" s="181"/>
      <c r="AK101" s="13"/>
      <c r="AL101" s="181"/>
      <c r="AM101" s="175"/>
      <c r="AN101" s="192"/>
      <c r="AO101" s="13"/>
      <c r="AP101" s="181"/>
      <c r="AQ101" s="175"/>
      <c r="AR101" s="18"/>
      <c r="AS101" s="12"/>
      <c r="AT101" s="12"/>
      <c r="AU101" s="12"/>
      <c r="AV101" s="12"/>
      <c r="AW101" s="137"/>
      <c r="AX101" s="13"/>
      <c r="AY101" s="138"/>
      <c r="AZ101" s="140"/>
      <c r="BA101" s="18"/>
      <c r="BB101" s="18" t="e">
        <f>IF(#REF!&lt;&gt;0,IF(LL[[#This Row],[Date of Birth]]&lt;&gt;0,YEAR(#REF!-LL[[#This Row],[Date of Birth]])-1900,""),"")</f>
        <v>#REF!</v>
      </c>
      <c r="BC101" s="2" t="str">
        <f>IF(LL[[#This Row],[Sx Onset Date]]&gt;0,LL[[#This Row],[Sx Onset Date]],"")</f>
        <v/>
      </c>
      <c r="BD101" s="2" t="str">
        <f>IF(LL[[#This Row],[Lab-confirmed?]]="Y",LL[[#This Row],[Test Date]],"")</f>
        <v/>
      </c>
      <c r="BE101" s="2" t="str">
        <f>IF(LL[[#This Row],[Lab-confirmed?]]="Y",LL[[#This Row],[Test Date 2]],"")</f>
        <v/>
      </c>
      <c r="BF101" s="139" t="str">
        <f>IF(LL[[#This Row],[Date Reported to Public Health]]&gt;0,LL[[#This Row],[Date Reported to Public Health]],"")</f>
        <v/>
      </c>
      <c r="BG101" s="13" t="str">
        <f t="shared" si="1"/>
        <v/>
      </c>
    </row>
    <row r="102" spans="1:59" x14ac:dyDescent="0.3">
      <c r="A102" s="11">
        <v>98</v>
      </c>
      <c r="B102" s="12"/>
      <c r="C102" s="13"/>
      <c r="D102" s="12"/>
      <c r="E102" s="12"/>
      <c r="F102" s="12"/>
      <c r="G102" s="16"/>
      <c r="H102" s="12"/>
      <c r="I102" s="14"/>
      <c r="J102" s="137"/>
      <c r="K102" s="137"/>
      <c r="L102" s="18"/>
      <c r="M102" s="139"/>
      <c r="N102" s="140"/>
      <c r="O102" s="137"/>
      <c r="P102" s="137"/>
      <c r="Q102" s="15"/>
      <c r="R102" s="12"/>
      <c r="S102" s="12"/>
      <c r="T102" s="12"/>
      <c r="U102" s="14"/>
      <c r="V102" s="15"/>
      <c r="W102" s="12"/>
      <c r="X102" s="12"/>
      <c r="Y102" s="12"/>
      <c r="Z102" s="12"/>
      <c r="AA102" s="12"/>
      <c r="AB102" s="14"/>
      <c r="AC102" s="15"/>
      <c r="AD102" s="12"/>
      <c r="AE102" s="12"/>
      <c r="AF102" s="14"/>
      <c r="AG102" s="18"/>
      <c r="AH102" s="18"/>
      <c r="AI102" s="17"/>
      <c r="AJ102" s="181"/>
      <c r="AK102" s="13"/>
      <c r="AL102" s="181"/>
      <c r="AM102" s="175"/>
      <c r="AN102" s="192"/>
      <c r="AO102" s="13"/>
      <c r="AP102" s="181"/>
      <c r="AQ102" s="175"/>
      <c r="AR102" s="18"/>
      <c r="AS102" s="12"/>
      <c r="AT102" s="12"/>
      <c r="AU102" s="12"/>
      <c r="AV102" s="12"/>
      <c r="AW102" s="137"/>
      <c r="AX102" s="13"/>
      <c r="AY102" s="138"/>
      <c r="AZ102" s="140"/>
      <c r="BA102" s="18"/>
      <c r="BB102" s="18" t="e">
        <f>IF(#REF!&lt;&gt;0,IF(LL[[#This Row],[Date of Birth]]&lt;&gt;0,YEAR(#REF!-LL[[#This Row],[Date of Birth]])-1900,""),"")</f>
        <v>#REF!</v>
      </c>
      <c r="BC102" s="2" t="str">
        <f>IF(LL[[#This Row],[Sx Onset Date]]&gt;0,LL[[#This Row],[Sx Onset Date]],"")</f>
        <v/>
      </c>
      <c r="BD102" s="2" t="str">
        <f>IF(LL[[#This Row],[Lab-confirmed?]]="Y",LL[[#This Row],[Test Date]],"")</f>
        <v/>
      </c>
      <c r="BE102" s="2" t="str">
        <f>IF(LL[[#This Row],[Lab-confirmed?]]="Y",LL[[#This Row],[Test Date 2]],"")</f>
        <v/>
      </c>
      <c r="BF102" s="139" t="str">
        <f>IF(LL[[#This Row],[Date Reported to Public Health]]&gt;0,LL[[#This Row],[Date Reported to Public Health]],"")</f>
        <v/>
      </c>
      <c r="BG102" s="13" t="str">
        <f t="shared" si="1"/>
        <v/>
      </c>
    </row>
    <row r="103" spans="1:59" x14ac:dyDescent="0.3">
      <c r="A103" s="11">
        <v>99</v>
      </c>
      <c r="B103" s="12"/>
      <c r="C103" s="13"/>
      <c r="D103" s="12"/>
      <c r="E103" s="12"/>
      <c r="F103" s="12"/>
      <c r="G103" s="16"/>
      <c r="H103" s="12"/>
      <c r="I103" s="14"/>
      <c r="J103" s="137"/>
      <c r="K103" s="137"/>
      <c r="L103" s="18"/>
      <c r="M103" s="139"/>
      <c r="N103" s="140"/>
      <c r="O103" s="137"/>
      <c r="P103" s="137"/>
      <c r="Q103" s="15"/>
      <c r="R103" s="12"/>
      <c r="S103" s="12"/>
      <c r="T103" s="12"/>
      <c r="U103" s="14"/>
      <c r="V103" s="15"/>
      <c r="W103" s="12"/>
      <c r="X103" s="12"/>
      <c r="Y103" s="12"/>
      <c r="Z103" s="12"/>
      <c r="AA103" s="12"/>
      <c r="AB103" s="14"/>
      <c r="AC103" s="15"/>
      <c r="AD103" s="12"/>
      <c r="AE103" s="12"/>
      <c r="AF103" s="14"/>
      <c r="AG103" s="18"/>
      <c r="AH103" s="18"/>
      <c r="AI103" s="17"/>
      <c r="AJ103" s="181"/>
      <c r="AK103" s="13"/>
      <c r="AL103" s="181"/>
      <c r="AM103" s="175"/>
      <c r="AN103" s="192"/>
      <c r="AO103" s="13"/>
      <c r="AP103" s="181"/>
      <c r="AQ103" s="175"/>
      <c r="AR103" s="18"/>
      <c r="AS103" s="12"/>
      <c r="AT103" s="12"/>
      <c r="AU103" s="12"/>
      <c r="AV103" s="12"/>
      <c r="AW103" s="137"/>
      <c r="AX103" s="13"/>
      <c r="AY103" s="138"/>
      <c r="AZ103" s="140"/>
      <c r="BA103" s="18"/>
      <c r="BB103" s="18" t="e">
        <f>IF(#REF!&lt;&gt;0,IF(LL[[#This Row],[Date of Birth]]&lt;&gt;0,YEAR(#REF!-LL[[#This Row],[Date of Birth]])-1900,""),"")</f>
        <v>#REF!</v>
      </c>
      <c r="BC103" s="2" t="str">
        <f>IF(LL[[#This Row],[Sx Onset Date]]&gt;0,LL[[#This Row],[Sx Onset Date]],"")</f>
        <v/>
      </c>
      <c r="BD103" s="2" t="str">
        <f>IF(LL[[#This Row],[Lab-confirmed?]]="Y",LL[[#This Row],[Test Date]],"")</f>
        <v/>
      </c>
      <c r="BE103" s="2" t="str">
        <f>IF(LL[[#This Row],[Lab-confirmed?]]="Y",LL[[#This Row],[Test Date 2]],"")</f>
        <v/>
      </c>
      <c r="BF103" s="139" t="str">
        <f>IF(LL[[#This Row],[Date Reported to Public Health]]&gt;0,LL[[#This Row],[Date Reported to Public Health]],"")</f>
        <v/>
      </c>
      <c r="BG103" s="13" t="str">
        <f t="shared" si="1"/>
        <v/>
      </c>
    </row>
    <row r="104" spans="1:59" x14ac:dyDescent="0.3">
      <c r="A104" s="11">
        <v>100</v>
      </c>
      <c r="B104" s="12"/>
      <c r="C104" s="13"/>
      <c r="D104" s="12"/>
      <c r="E104" s="12"/>
      <c r="F104" s="12"/>
      <c r="G104" s="16"/>
      <c r="H104" s="12"/>
      <c r="I104" s="14"/>
      <c r="J104" s="137"/>
      <c r="K104" s="137"/>
      <c r="L104" s="18"/>
      <c r="M104" s="139"/>
      <c r="N104" s="140"/>
      <c r="O104" s="137"/>
      <c r="P104" s="137"/>
      <c r="Q104" s="15"/>
      <c r="R104" s="12"/>
      <c r="S104" s="12"/>
      <c r="T104" s="12"/>
      <c r="U104" s="14"/>
      <c r="V104" s="15"/>
      <c r="W104" s="12"/>
      <c r="X104" s="12"/>
      <c r="Y104" s="12"/>
      <c r="Z104" s="12"/>
      <c r="AA104" s="12"/>
      <c r="AB104" s="14"/>
      <c r="AC104" s="15"/>
      <c r="AD104" s="12"/>
      <c r="AE104" s="12"/>
      <c r="AF104" s="14"/>
      <c r="AG104" s="18"/>
      <c r="AH104" s="18"/>
      <c r="AI104" s="17"/>
      <c r="AJ104" s="181"/>
      <c r="AK104" s="13"/>
      <c r="AL104" s="181"/>
      <c r="AM104" s="175"/>
      <c r="AN104" s="192"/>
      <c r="AO104" s="13"/>
      <c r="AP104" s="181"/>
      <c r="AQ104" s="175"/>
      <c r="AR104" s="18"/>
      <c r="AS104" s="12"/>
      <c r="AT104" s="12"/>
      <c r="AU104" s="12"/>
      <c r="AV104" s="12"/>
      <c r="AW104" s="137"/>
      <c r="AX104" s="13"/>
      <c r="AY104" s="138"/>
      <c r="AZ104" s="140"/>
      <c r="BA104" s="18"/>
      <c r="BB104" s="18" t="e">
        <f>IF(#REF!&lt;&gt;0,IF(LL[[#This Row],[Date of Birth]]&lt;&gt;0,YEAR(#REF!-LL[[#This Row],[Date of Birth]])-1900,""),"")</f>
        <v>#REF!</v>
      </c>
      <c r="BC104" s="2" t="str">
        <f>IF(LL[[#This Row],[Sx Onset Date]]&gt;0,LL[[#This Row],[Sx Onset Date]],"")</f>
        <v/>
      </c>
      <c r="BD104" s="2" t="str">
        <f>IF(LL[[#This Row],[Lab-confirmed?]]="Y",LL[[#This Row],[Test Date]],"")</f>
        <v/>
      </c>
      <c r="BE104" s="2" t="str">
        <f>IF(LL[[#This Row],[Lab-confirmed?]]="Y",LL[[#This Row],[Test Date 2]],"")</f>
        <v/>
      </c>
      <c r="BF104" s="139" t="str">
        <f>IF(LL[[#This Row],[Date Reported to Public Health]]&gt;0,LL[[#This Row],[Date Reported to Public Health]],"")</f>
        <v/>
      </c>
      <c r="BG104" s="13" t="str">
        <f t="shared" si="1"/>
        <v/>
      </c>
    </row>
    <row r="105" spans="1:59" x14ac:dyDescent="0.3">
      <c r="A105" s="11">
        <v>101</v>
      </c>
      <c r="B105" s="12"/>
      <c r="C105" s="13"/>
      <c r="D105" s="12"/>
      <c r="E105" s="12"/>
      <c r="F105" s="12"/>
      <c r="G105" s="16"/>
      <c r="H105" s="12"/>
      <c r="I105" s="14"/>
      <c r="J105" s="137"/>
      <c r="K105" s="137"/>
      <c r="L105" s="18"/>
      <c r="M105" s="139"/>
      <c r="N105" s="140"/>
      <c r="O105" s="137"/>
      <c r="P105" s="137"/>
      <c r="Q105" s="15"/>
      <c r="R105" s="12"/>
      <c r="S105" s="12"/>
      <c r="T105" s="12"/>
      <c r="U105" s="14"/>
      <c r="V105" s="15"/>
      <c r="W105" s="12"/>
      <c r="X105" s="12"/>
      <c r="Y105" s="12"/>
      <c r="Z105" s="12"/>
      <c r="AA105" s="12"/>
      <c r="AB105" s="14"/>
      <c r="AC105" s="15"/>
      <c r="AD105" s="12"/>
      <c r="AE105" s="12"/>
      <c r="AF105" s="14"/>
      <c r="AG105" s="18"/>
      <c r="AH105" s="18"/>
      <c r="AI105" s="17"/>
      <c r="AJ105" s="181"/>
      <c r="AK105" s="13"/>
      <c r="AL105" s="181"/>
      <c r="AM105" s="175"/>
      <c r="AN105" s="192"/>
      <c r="AO105" s="13"/>
      <c r="AP105" s="181"/>
      <c r="AQ105" s="175"/>
      <c r="AR105" s="18"/>
      <c r="AS105" s="12"/>
      <c r="AT105" s="12"/>
      <c r="AU105" s="12"/>
      <c r="AV105" s="12"/>
      <c r="AW105" s="137"/>
      <c r="AX105" s="13"/>
      <c r="AY105" s="138"/>
      <c r="AZ105" s="140"/>
      <c r="BA105" s="18"/>
      <c r="BB105" s="18" t="e">
        <f>IF(#REF!&lt;&gt;0,IF(LL[[#This Row],[Date of Birth]]&lt;&gt;0,YEAR(#REF!-LL[[#This Row],[Date of Birth]])-1900,""),"")</f>
        <v>#REF!</v>
      </c>
      <c r="BC105" s="2" t="str">
        <f>IF(LL[[#This Row],[Sx Onset Date]]&gt;0,LL[[#This Row],[Sx Onset Date]],"")</f>
        <v/>
      </c>
      <c r="BD105" s="2" t="str">
        <f>IF(LL[[#This Row],[Lab-confirmed?]]="Y",LL[[#This Row],[Test Date]],"")</f>
        <v/>
      </c>
      <c r="BE105" s="2" t="str">
        <f>IF(LL[[#This Row],[Lab-confirmed?]]="Y",LL[[#This Row],[Test Date 2]],"")</f>
        <v/>
      </c>
      <c r="BF105" s="139" t="str">
        <f>IF(LL[[#This Row],[Date Reported to Public Health]]&gt;0,LL[[#This Row],[Date Reported to Public Health]],"")</f>
        <v/>
      </c>
      <c r="BG105" s="13" t="str">
        <f t="shared" si="1"/>
        <v/>
      </c>
    </row>
    <row r="106" spans="1:59" x14ac:dyDescent="0.3">
      <c r="A106" s="11">
        <v>102</v>
      </c>
      <c r="B106" s="12"/>
      <c r="C106" s="13"/>
      <c r="D106" s="12"/>
      <c r="E106" s="12"/>
      <c r="F106" s="12"/>
      <c r="G106" s="16"/>
      <c r="H106" s="12"/>
      <c r="I106" s="14"/>
      <c r="J106" s="137"/>
      <c r="K106" s="137"/>
      <c r="L106" s="18"/>
      <c r="M106" s="139"/>
      <c r="N106" s="140"/>
      <c r="O106" s="137"/>
      <c r="P106" s="137"/>
      <c r="Q106" s="15"/>
      <c r="R106" s="12"/>
      <c r="S106" s="12"/>
      <c r="T106" s="12"/>
      <c r="U106" s="14"/>
      <c r="V106" s="15"/>
      <c r="W106" s="12"/>
      <c r="X106" s="12"/>
      <c r="Y106" s="12"/>
      <c r="Z106" s="12"/>
      <c r="AA106" s="12"/>
      <c r="AB106" s="14"/>
      <c r="AC106" s="15"/>
      <c r="AD106" s="12"/>
      <c r="AE106" s="12"/>
      <c r="AF106" s="14"/>
      <c r="AG106" s="18"/>
      <c r="AH106" s="18"/>
      <c r="AI106" s="17"/>
      <c r="AJ106" s="181"/>
      <c r="AK106" s="13"/>
      <c r="AL106" s="181"/>
      <c r="AM106" s="175"/>
      <c r="AN106" s="192"/>
      <c r="AO106" s="13"/>
      <c r="AP106" s="181"/>
      <c r="AQ106" s="175"/>
      <c r="AR106" s="18"/>
      <c r="AS106" s="12"/>
      <c r="AT106" s="12"/>
      <c r="AU106" s="12"/>
      <c r="AV106" s="12"/>
      <c r="AW106" s="137"/>
      <c r="AX106" s="13"/>
      <c r="AY106" s="138"/>
      <c r="AZ106" s="140"/>
      <c r="BA106" s="18"/>
      <c r="BB106" s="18" t="e">
        <f>IF(#REF!&lt;&gt;0,IF(LL[[#This Row],[Date of Birth]]&lt;&gt;0,YEAR(#REF!-LL[[#This Row],[Date of Birth]])-1900,""),"")</f>
        <v>#REF!</v>
      </c>
      <c r="BC106" s="2" t="str">
        <f>IF(LL[[#This Row],[Sx Onset Date]]&gt;0,LL[[#This Row],[Sx Onset Date]],"")</f>
        <v/>
      </c>
      <c r="BD106" s="2" t="str">
        <f>IF(LL[[#This Row],[Lab-confirmed?]]="Y",LL[[#This Row],[Test Date]],"")</f>
        <v/>
      </c>
      <c r="BE106" s="2" t="str">
        <f>IF(LL[[#This Row],[Lab-confirmed?]]="Y",LL[[#This Row],[Test Date 2]],"")</f>
        <v/>
      </c>
      <c r="BF106" s="139" t="str">
        <f>IF(LL[[#This Row],[Date Reported to Public Health]]&gt;0,LL[[#This Row],[Date Reported to Public Health]],"")</f>
        <v/>
      </c>
      <c r="BG106" s="13" t="str">
        <f t="shared" si="1"/>
        <v/>
      </c>
    </row>
    <row r="107" spans="1:59" x14ac:dyDescent="0.3">
      <c r="A107" s="11">
        <v>103</v>
      </c>
      <c r="B107" s="12"/>
      <c r="C107" s="13"/>
      <c r="D107" s="12"/>
      <c r="E107" s="12"/>
      <c r="F107" s="12"/>
      <c r="G107" s="16"/>
      <c r="H107" s="12"/>
      <c r="I107" s="14"/>
      <c r="J107" s="137"/>
      <c r="K107" s="137"/>
      <c r="L107" s="18"/>
      <c r="M107" s="139"/>
      <c r="N107" s="140"/>
      <c r="O107" s="137"/>
      <c r="P107" s="137"/>
      <c r="Q107" s="15"/>
      <c r="R107" s="12"/>
      <c r="S107" s="12"/>
      <c r="T107" s="12"/>
      <c r="U107" s="14"/>
      <c r="V107" s="15"/>
      <c r="W107" s="12"/>
      <c r="X107" s="12"/>
      <c r="Y107" s="12"/>
      <c r="Z107" s="12"/>
      <c r="AA107" s="12"/>
      <c r="AB107" s="14"/>
      <c r="AC107" s="15"/>
      <c r="AD107" s="12"/>
      <c r="AE107" s="12"/>
      <c r="AF107" s="14"/>
      <c r="AG107" s="18"/>
      <c r="AH107" s="18"/>
      <c r="AI107" s="17"/>
      <c r="AJ107" s="181"/>
      <c r="AK107" s="13"/>
      <c r="AL107" s="181"/>
      <c r="AM107" s="175"/>
      <c r="AN107" s="192"/>
      <c r="AO107" s="13"/>
      <c r="AP107" s="181"/>
      <c r="AQ107" s="175"/>
      <c r="AR107" s="18"/>
      <c r="AS107" s="12"/>
      <c r="AT107" s="12"/>
      <c r="AU107" s="12"/>
      <c r="AV107" s="12"/>
      <c r="AW107" s="137"/>
      <c r="AX107" s="13"/>
      <c r="AY107" s="138"/>
      <c r="AZ107" s="140"/>
      <c r="BA107" s="18"/>
      <c r="BB107" s="18" t="e">
        <f>IF(#REF!&lt;&gt;0,IF(LL[[#This Row],[Date of Birth]]&lt;&gt;0,YEAR(#REF!-LL[[#This Row],[Date of Birth]])-1900,""),"")</f>
        <v>#REF!</v>
      </c>
      <c r="BC107" s="2" t="str">
        <f>IF(LL[[#This Row],[Sx Onset Date]]&gt;0,LL[[#This Row],[Sx Onset Date]],"")</f>
        <v/>
      </c>
      <c r="BD107" s="2" t="str">
        <f>IF(LL[[#This Row],[Lab-confirmed?]]="Y",LL[[#This Row],[Test Date]],"")</f>
        <v/>
      </c>
      <c r="BE107" s="2" t="str">
        <f>IF(LL[[#This Row],[Lab-confirmed?]]="Y",LL[[#This Row],[Test Date 2]],"")</f>
        <v/>
      </c>
      <c r="BF107" s="139" t="str">
        <f>IF(LL[[#This Row],[Date Reported to Public Health]]&gt;0,LL[[#This Row],[Date Reported to Public Health]],"")</f>
        <v/>
      </c>
      <c r="BG107" s="13" t="str">
        <f t="shared" si="1"/>
        <v/>
      </c>
    </row>
    <row r="108" spans="1:59" x14ac:dyDescent="0.3">
      <c r="A108" s="11">
        <v>104</v>
      </c>
      <c r="B108" s="12"/>
      <c r="C108" s="13"/>
      <c r="D108" s="12"/>
      <c r="E108" s="12"/>
      <c r="F108" s="12"/>
      <c r="G108" s="16"/>
      <c r="H108" s="12"/>
      <c r="I108" s="14"/>
      <c r="J108" s="137"/>
      <c r="K108" s="137"/>
      <c r="L108" s="18"/>
      <c r="M108" s="139"/>
      <c r="N108" s="140"/>
      <c r="O108" s="137"/>
      <c r="P108" s="137"/>
      <c r="Q108" s="15"/>
      <c r="R108" s="12"/>
      <c r="S108" s="12"/>
      <c r="T108" s="12"/>
      <c r="U108" s="14"/>
      <c r="V108" s="15"/>
      <c r="W108" s="12"/>
      <c r="X108" s="12"/>
      <c r="Y108" s="12"/>
      <c r="Z108" s="12"/>
      <c r="AA108" s="12"/>
      <c r="AB108" s="14"/>
      <c r="AC108" s="15"/>
      <c r="AD108" s="12"/>
      <c r="AE108" s="12"/>
      <c r="AF108" s="14"/>
      <c r="AG108" s="18"/>
      <c r="AH108" s="18"/>
      <c r="AI108" s="17"/>
      <c r="AJ108" s="181"/>
      <c r="AK108" s="13"/>
      <c r="AL108" s="181"/>
      <c r="AM108" s="175"/>
      <c r="AN108" s="192"/>
      <c r="AO108" s="13"/>
      <c r="AP108" s="181"/>
      <c r="AQ108" s="175"/>
      <c r="AR108" s="18"/>
      <c r="AS108" s="12"/>
      <c r="AT108" s="12"/>
      <c r="AU108" s="12"/>
      <c r="AV108" s="12"/>
      <c r="AW108" s="137"/>
      <c r="AX108" s="13"/>
      <c r="AY108" s="138"/>
      <c r="AZ108" s="140"/>
      <c r="BA108" s="18"/>
      <c r="BB108" s="18" t="e">
        <f>IF(#REF!&lt;&gt;0,IF(LL[[#This Row],[Date of Birth]]&lt;&gt;0,YEAR(#REF!-LL[[#This Row],[Date of Birth]])-1900,""),"")</f>
        <v>#REF!</v>
      </c>
      <c r="BC108" s="2" t="str">
        <f>IF(LL[[#This Row],[Sx Onset Date]]&gt;0,LL[[#This Row],[Sx Onset Date]],"")</f>
        <v/>
      </c>
      <c r="BD108" s="2" t="str">
        <f>IF(LL[[#This Row],[Lab-confirmed?]]="Y",LL[[#This Row],[Test Date]],"")</f>
        <v/>
      </c>
      <c r="BE108" s="2" t="str">
        <f>IF(LL[[#This Row],[Lab-confirmed?]]="Y",LL[[#This Row],[Test Date 2]],"")</f>
        <v/>
      </c>
      <c r="BF108" s="139" t="str">
        <f>IF(LL[[#This Row],[Date Reported to Public Health]]&gt;0,LL[[#This Row],[Date Reported to Public Health]],"")</f>
        <v/>
      </c>
      <c r="BG108" s="13" t="str">
        <f t="shared" si="1"/>
        <v/>
      </c>
    </row>
    <row r="109" spans="1:59" x14ac:dyDescent="0.3">
      <c r="A109" s="11">
        <v>105</v>
      </c>
      <c r="B109" s="12"/>
      <c r="C109" s="13"/>
      <c r="D109" s="12"/>
      <c r="E109" s="12"/>
      <c r="F109" s="12"/>
      <c r="G109" s="16"/>
      <c r="H109" s="12"/>
      <c r="I109" s="14"/>
      <c r="J109" s="137"/>
      <c r="K109" s="137"/>
      <c r="L109" s="18"/>
      <c r="M109" s="139"/>
      <c r="N109" s="140"/>
      <c r="O109" s="137"/>
      <c r="P109" s="137"/>
      <c r="Q109" s="15"/>
      <c r="R109" s="12"/>
      <c r="S109" s="12"/>
      <c r="T109" s="12"/>
      <c r="U109" s="14"/>
      <c r="V109" s="15"/>
      <c r="W109" s="12"/>
      <c r="X109" s="12"/>
      <c r="Y109" s="12"/>
      <c r="Z109" s="12"/>
      <c r="AA109" s="12"/>
      <c r="AB109" s="14"/>
      <c r="AC109" s="15"/>
      <c r="AD109" s="12"/>
      <c r="AE109" s="12"/>
      <c r="AF109" s="14"/>
      <c r="AG109" s="18"/>
      <c r="AH109" s="18"/>
      <c r="AI109" s="17"/>
      <c r="AJ109" s="181"/>
      <c r="AK109" s="13"/>
      <c r="AL109" s="181"/>
      <c r="AM109" s="175"/>
      <c r="AN109" s="192"/>
      <c r="AO109" s="13"/>
      <c r="AP109" s="181"/>
      <c r="AQ109" s="175"/>
      <c r="AR109" s="18"/>
      <c r="AS109" s="12"/>
      <c r="AT109" s="12"/>
      <c r="AU109" s="12"/>
      <c r="AV109" s="12"/>
      <c r="AW109" s="137"/>
      <c r="AX109" s="13"/>
      <c r="AY109" s="138"/>
      <c r="AZ109" s="140"/>
      <c r="BA109" s="18"/>
      <c r="BB109" s="18" t="e">
        <f>IF(#REF!&lt;&gt;0,IF(LL[[#This Row],[Date of Birth]]&lt;&gt;0,YEAR(#REF!-LL[[#This Row],[Date of Birth]])-1900,""),"")</f>
        <v>#REF!</v>
      </c>
      <c r="BC109" s="2" t="str">
        <f>IF(LL[[#This Row],[Sx Onset Date]]&gt;0,LL[[#This Row],[Sx Onset Date]],"")</f>
        <v/>
      </c>
      <c r="BD109" s="2" t="str">
        <f>IF(LL[[#This Row],[Lab-confirmed?]]="Y",LL[[#This Row],[Test Date]],"")</f>
        <v/>
      </c>
      <c r="BE109" s="2" t="str">
        <f>IF(LL[[#This Row],[Lab-confirmed?]]="Y",LL[[#This Row],[Test Date 2]],"")</f>
        <v/>
      </c>
      <c r="BF109" s="139" t="str">
        <f>IF(LL[[#This Row],[Date Reported to Public Health]]&gt;0,LL[[#This Row],[Date Reported to Public Health]],"")</f>
        <v/>
      </c>
      <c r="BG109" s="13" t="str">
        <f t="shared" si="1"/>
        <v/>
      </c>
    </row>
    <row r="110" spans="1:59" x14ac:dyDescent="0.3">
      <c r="A110" s="11">
        <v>106</v>
      </c>
      <c r="B110" s="12"/>
      <c r="C110" s="13"/>
      <c r="D110" s="12"/>
      <c r="E110" s="12"/>
      <c r="F110" s="12"/>
      <c r="G110" s="16"/>
      <c r="H110" s="12"/>
      <c r="I110" s="14"/>
      <c r="J110" s="137"/>
      <c r="K110" s="137"/>
      <c r="L110" s="18"/>
      <c r="M110" s="139"/>
      <c r="N110" s="140"/>
      <c r="O110" s="137"/>
      <c r="P110" s="137"/>
      <c r="Q110" s="15"/>
      <c r="R110" s="12"/>
      <c r="S110" s="12"/>
      <c r="T110" s="12"/>
      <c r="U110" s="14"/>
      <c r="V110" s="15"/>
      <c r="W110" s="12"/>
      <c r="X110" s="12"/>
      <c r="Y110" s="12"/>
      <c r="Z110" s="12"/>
      <c r="AA110" s="12"/>
      <c r="AB110" s="14"/>
      <c r="AC110" s="15"/>
      <c r="AD110" s="12"/>
      <c r="AE110" s="12"/>
      <c r="AF110" s="14"/>
      <c r="AG110" s="18"/>
      <c r="AH110" s="18"/>
      <c r="AI110" s="17"/>
      <c r="AJ110" s="181"/>
      <c r="AK110" s="13"/>
      <c r="AL110" s="181"/>
      <c r="AM110" s="175"/>
      <c r="AN110" s="192"/>
      <c r="AO110" s="13"/>
      <c r="AP110" s="181"/>
      <c r="AQ110" s="175"/>
      <c r="AR110" s="18"/>
      <c r="AS110" s="12"/>
      <c r="AT110" s="12"/>
      <c r="AU110" s="12"/>
      <c r="AV110" s="12"/>
      <c r="AW110" s="137"/>
      <c r="AX110" s="13"/>
      <c r="AY110" s="138"/>
      <c r="AZ110" s="140"/>
      <c r="BA110" s="18"/>
      <c r="BB110" s="18" t="e">
        <f>IF(#REF!&lt;&gt;0,IF(LL[[#This Row],[Date of Birth]]&lt;&gt;0,YEAR(#REF!-LL[[#This Row],[Date of Birth]])-1900,""),"")</f>
        <v>#REF!</v>
      </c>
      <c r="BC110" s="2" t="str">
        <f>IF(LL[[#This Row],[Sx Onset Date]]&gt;0,LL[[#This Row],[Sx Onset Date]],"")</f>
        <v/>
      </c>
      <c r="BD110" s="2" t="str">
        <f>IF(LL[[#This Row],[Lab-confirmed?]]="Y",LL[[#This Row],[Test Date]],"")</f>
        <v/>
      </c>
      <c r="BE110" s="2" t="str">
        <f>IF(LL[[#This Row],[Lab-confirmed?]]="Y",LL[[#This Row],[Test Date 2]],"")</f>
        <v/>
      </c>
      <c r="BF110" s="139" t="str">
        <f>IF(LL[[#This Row],[Date Reported to Public Health]]&gt;0,LL[[#This Row],[Date Reported to Public Health]],"")</f>
        <v/>
      </c>
      <c r="BG110" s="13" t="str">
        <f t="shared" si="1"/>
        <v/>
      </c>
    </row>
    <row r="111" spans="1:59" x14ac:dyDescent="0.3">
      <c r="A111" s="11">
        <v>107</v>
      </c>
      <c r="B111" s="12"/>
      <c r="C111" s="13"/>
      <c r="D111" s="12"/>
      <c r="E111" s="12"/>
      <c r="F111" s="12"/>
      <c r="G111" s="16"/>
      <c r="H111" s="12"/>
      <c r="I111" s="14"/>
      <c r="J111" s="137"/>
      <c r="K111" s="137"/>
      <c r="L111" s="18"/>
      <c r="M111" s="139"/>
      <c r="N111" s="140"/>
      <c r="O111" s="137"/>
      <c r="P111" s="137"/>
      <c r="Q111" s="15"/>
      <c r="R111" s="12"/>
      <c r="S111" s="12"/>
      <c r="T111" s="12"/>
      <c r="U111" s="14"/>
      <c r="V111" s="15"/>
      <c r="W111" s="12"/>
      <c r="X111" s="12"/>
      <c r="Y111" s="12"/>
      <c r="Z111" s="12"/>
      <c r="AA111" s="12"/>
      <c r="AB111" s="14"/>
      <c r="AC111" s="15"/>
      <c r="AD111" s="12"/>
      <c r="AE111" s="12"/>
      <c r="AF111" s="14"/>
      <c r="AG111" s="18"/>
      <c r="AH111" s="18"/>
      <c r="AI111" s="17"/>
      <c r="AJ111" s="181"/>
      <c r="AK111" s="13"/>
      <c r="AL111" s="181"/>
      <c r="AM111" s="175"/>
      <c r="AN111" s="192"/>
      <c r="AO111" s="13"/>
      <c r="AP111" s="181"/>
      <c r="AQ111" s="175"/>
      <c r="AR111" s="18"/>
      <c r="AS111" s="12"/>
      <c r="AT111" s="12"/>
      <c r="AU111" s="12"/>
      <c r="AV111" s="12"/>
      <c r="AW111" s="137"/>
      <c r="AX111" s="13"/>
      <c r="AY111" s="138"/>
      <c r="AZ111" s="140"/>
      <c r="BA111" s="18"/>
      <c r="BB111" s="18" t="e">
        <f>IF(#REF!&lt;&gt;0,IF(LL[[#This Row],[Date of Birth]]&lt;&gt;0,YEAR(#REF!-LL[[#This Row],[Date of Birth]])-1900,""),"")</f>
        <v>#REF!</v>
      </c>
      <c r="BC111" s="2" t="str">
        <f>IF(LL[[#This Row],[Sx Onset Date]]&gt;0,LL[[#This Row],[Sx Onset Date]],"")</f>
        <v/>
      </c>
      <c r="BD111" s="2" t="str">
        <f>IF(LL[[#This Row],[Lab-confirmed?]]="Y",LL[[#This Row],[Test Date]],"")</f>
        <v/>
      </c>
      <c r="BE111" s="2" t="str">
        <f>IF(LL[[#This Row],[Lab-confirmed?]]="Y",LL[[#This Row],[Test Date 2]],"")</f>
        <v/>
      </c>
      <c r="BF111" s="139" t="str">
        <f>IF(LL[[#This Row],[Date Reported to Public Health]]&gt;0,LL[[#This Row],[Date Reported to Public Health]],"")</f>
        <v/>
      </c>
      <c r="BG111" s="13" t="str">
        <f t="shared" si="1"/>
        <v/>
      </c>
    </row>
    <row r="112" spans="1:59" x14ac:dyDescent="0.3">
      <c r="A112" s="11">
        <v>108</v>
      </c>
      <c r="B112" s="12"/>
      <c r="C112" s="13"/>
      <c r="D112" s="12"/>
      <c r="E112" s="12"/>
      <c r="F112" s="12"/>
      <c r="G112" s="16"/>
      <c r="H112" s="12"/>
      <c r="I112" s="14"/>
      <c r="J112" s="137"/>
      <c r="K112" s="137"/>
      <c r="L112" s="18"/>
      <c r="M112" s="139"/>
      <c r="N112" s="140"/>
      <c r="O112" s="137"/>
      <c r="P112" s="137"/>
      <c r="Q112" s="15"/>
      <c r="R112" s="12"/>
      <c r="S112" s="12"/>
      <c r="T112" s="12"/>
      <c r="U112" s="14"/>
      <c r="V112" s="15"/>
      <c r="W112" s="12"/>
      <c r="X112" s="12"/>
      <c r="Y112" s="12"/>
      <c r="Z112" s="12"/>
      <c r="AA112" s="12"/>
      <c r="AB112" s="14"/>
      <c r="AC112" s="15"/>
      <c r="AD112" s="12"/>
      <c r="AE112" s="12"/>
      <c r="AF112" s="14"/>
      <c r="AG112" s="18"/>
      <c r="AH112" s="18"/>
      <c r="AI112" s="17"/>
      <c r="AJ112" s="181"/>
      <c r="AK112" s="13"/>
      <c r="AL112" s="181"/>
      <c r="AM112" s="175"/>
      <c r="AN112" s="192"/>
      <c r="AO112" s="13"/>
      <c r="AP112" s="181"/>
      <c r="AQ112" s="175"/>
      <c r="AR112" s="18"/>
      <c r="AS112" s="12"/>
      <c r="AT112" s="12"/>
      <c r="AU112" s="12"/>
      <c r="AV112" s="12"/>
      <c r="AW112" s="137"/>
      <c r="AX112" s="13"/>
      <c r="AY112" s="138"/>
      <c r="AZ112" s="140"/>
      <c r="BA112" s="18"/>
      <c r="BB112" s="18" t="e">
        <f>IF(#REF!&lt;&gt;0,IF(LL[[#This Row],[Date of Birth]]&lt;&gt;0,YEAR(#REF!-LL[[#This Row],[Date of Birth]])-1900,""),"")</f>
        <v>#REF!</v>
      </c>
      <c r="BC112" s="2" t="str">
        <f>IF(LL[[#This Row],[Sx Onset Date]]&gt;0,LL[[#This Row],[Sx Onset Date]],"")</f>
        <v/>
      </c>
      <c r="BD112" s="2" t="str">
        <f>IF(LL[[#This Row],[Lab-confirmed?]]="Y",LL[[#This Row],[Test Date]],"")</f>
        <v/>
      </c>
      <c r="BE112" s="2" t="str">
        <f>IF(LL[[#This Row],[Lab-confirmed?]]="Y",LL[[#This Row],[Test Date 2]],"")</f>
        <v/>
      </c>
      <c r="BF112" s="139" t="str">
        <f>IF(LL[[#This Row],[Date Reported to Public Health]]&gt;0,LL[[#This Row],[Date Reported to Public Health]],"")</f>
        <v/>
      </c>
      <c r="BG112" s="13" t="str">
        <f t="shared" si="1"/>
        <v/>
      </c>
    </row>
    <row r="113" spans="1:59" x14ac:dyDescent="0.3">
      <c r="A113" s="11">
        <v>109</v>
      </c>
      <c r="B113" s="12"/>
      <c r="C113" s="13"/>
      <c r="D113" s="12"/>
      <c r="E113" s="12"/>
      <c r="F113" s="12"/>
      <c r="G113" s="16"/>
      <c r="H113" s="12"/>
      <c r="I113" s="14"/>
      <c r="J113" s="137"/>
      <c r="K113" s="137"/>
      <c r="L113" s="18"/>
      <c r="M113" s="139"/>
      <c r="N113" s="140"/>
      <c r="O113" s="137"/>
      <c r="P113" s="137"/>
      <c r="Q113" s="15"/>
      <c r="R113" s="12"/>
      <c r="S113" s="12"/>
      <c r="T113" s="12"/>
      <c r="U113" s="14"/>
      <c r="V113" s="15"/>
      <c r="W113" s="12"/>
      <c r="X113" s="12"/>
      <c r="Y113" s="12"/>
      <c r="Z113" s="12"/>
      <c r="AA113" s="12"/>
      <c r="AB113" s="14"/>
      <c r="AC113" s="15"/>
      <c r="AD113" s="12"/>
      <c r="AE113" s="12"/>
      <c r="AF113" s="14"/>
      <c r="AG113" s="18"/>
      <c r="AH113" s="18"/>
      <c r="AI113" s="17"/>
      <c r="AJ113" s="181"/>
      <c r="AK113" s="13"/>
      <c r="AL113" s="181"/>
      <c r="AM113" s="175"/>
      <c r="AN113" s="192"/>
      <c r="AO113" s="13"/>
      <c r="AP113" s="181"/>
      <c r="AQ113" s="175"/>
      <c r="AR113" s="18"/>
      <c r="AS113" s="12"/>
      <c r="AT113" s="12"/>
      <c r="AU113" s="12"/>
      <c r="AV113" s="12"/>
      <c r="AW113" s="137"/>
      <c r="AX113" s="13"/>
      <c r="AY113" s="138"/>
      <c r="AZ113" s="140"/>
      <c r="BA113" s="18"/>
      <c r="BB113" s="18" t="e">
        <f>IF(#REF!&lt;&gt;0,IF(LL[[#This Row],[Date of Birth]]&lt;&gt;0,YEAR(#REF!-LL[[#This Row],[Date of Birth]])-1900,""),"")</f>
        <v>#REF!</v>
      </c>
      <c r="BC113" s="2" t="str">
        <f>IF(LL[[#This Row],[Sx Onset Date]]&gt;0,LL[[#This Row],[Sx Onset Date]],"")</f>
        <v/>
      </c>
      <c r="BD113" s="2" t="str">
        <f>IF(LL[[#This Row],[Lab-confirmed?]]="Y",LL[[#This Row],[Test Date]],"")</f>
        <v/>
      </c>
      <c r="BE113" s="2" t="str">
        <f>IF(LL[[#This Row],[Lab-confirmed?]]="Y",LL[[#This Row],[Test Date 2]],"")</f>
        <v/>
      </c>
      <c r="BF113" s="139" t="str">
        <f>IF(LL[[#This Row],[Date Reported to Public Health]]&gt;0,LL[[#This Row],[Date Reported to Public Health]],"")</f>
        <v/>
      </c>
      <c r="BG113" s="13" t="str">
        <f t="shared" si="1"/>
        <v/>
      </c>
    </row>
    <row r="114" spans="1:59" x14ac:dyDescent="0.3">
      <c r="A114" s="11">
        <v>110</v>
      </c>
      <c r="B114" s="12"/>
      <c r="C114" s="13"/>
      <c r="D114" s="12"/>
      <c r="E114" s="12"/>
      <c r="F114" s="12"/>
      <c r="G114" s="16"/>
      <c r="H114" s="12"/>
      <c r="I114" s="14"/>
      <c r="J114" s="137"/>
      <c r="K114" s="137"/>
      <c r="L114" s="18"/>
      <c r="M114" s="139"/>
      <c r="N114" s="140"/>
      <c r="O114" s="137"/>
      <c r="P114" s="137"/>
      <c r="Q114" s="15"/>
      <c r="R114" s="12"/>
      <c r="S114" s="12"/>
      <c r="T114" s="12"/>
      <c r="U114" s="14"/>
      <c r="V114" s="15"/>
      <c r="W114" s="12"/>
      <c r="X114" s="12"/>
      <c r="Y114" s="12"/>
      <c r="Z114" s="12"/>
      <c r="AA114" s="12"/>
      <c r="AB114" s="14"/>
      <c r="AC114" s="15"/>
      <c r="AD114" s="12"/>
      <c r="AE114" s="12"/>
      <c r="AF114" s="14"/>
      <c r="AG114" s="18"/>
      <c r="AH114" s="18"/>
      <c r="AI114" s="17"/>
      <c r="AJ114" s="181"/>
      <c r="AK114" s="13"/>
      <c r="AL114" s="181"/>
      <c r="AM114" s="175"/>
      <c r="AN114" s="192"/>
      <c r="AO114" s="13"/>
      <c r="AP114" s="181"/>
      <c r="AQ114" s="175"/>
      <c r="AR114" s="18"/>
      <c r="AS114" s="12"/>
      <c r="AT114" s="12"/>
      <c r="AU114" s="12"/>
      <c r="AV114" s="12"/>
      <c r="AW114" s="137"/>
      <c r="AX114" s="13"/>
      <c r="AY114" s="138"/>
      <c r="AZ114" s="140"/>
      <c r="BA114" s="18"/>
      <c r="BB114" s="18" t="e">
        <f>IF(#REF!&lt;&gt;0,IF(LL[[#This Row],[Date of Birth]]&lt;&gt;0,YEAR(#REF!-LL[[#This Row],[Date of Birth]])-1900,""),"")</f>
        <v>#REF!</v>
      </c>
      <c r="BC114" s="2" t="str">
        <f>IF(LL[[#This Row],[Sx Onset Date]]&gt;0,LL[[#This Row],[Sx Onset Date]],"")</f>
        <v/>
      </c>
      <c r="BD114" s="2" t="str">
        <f>IF(LL[[#This Row],[Lab-confirmed?]]="Y",LL[[#This Row],[Test Date]],"")</f>
        <v/>
      </c>
      <c r="BE114" s="2" t="str">
        <f>IF(LL[[#This Row],[Lab-confirmed?]]="Y",LL[[#This Row],[Test Date 2]],"")</f>
        <v/>
      </c>
      <c r="BF114" s="139" t="str">
        <f>IF(LL[[#This Row],[Date Reported to Public Health]]&gt;0,LL[[#This Row],[Date Reported to Public Health]],"")</f>
        <v/>
      </c>
      <c r="BG114" s="13" t="str">
        <f t="shared" si="1"/>
        <v/>
      </c>
    </row>
    <row r="115" spans="1:59" x14ac:dyDescent="0.3">
      <c r="A115" s="11">
        <v>111</v>
      </c>
      <c r="B115" s="12"/>
      <c r="C115" s="13"/>
      <c r="D115" s="12"/>
      <c r="E115" s="12"/>
      <c r="F115" s="12"/>
      <c r="G115" s="16"/>
      <c r="H115" s="12"/>
      <c r="I115" s="14"/>
      <c r="J115" s="137"/>
      <c r="K115" s="137"/>
      <c r="L115" s="18"/>
      <c r="M115" s="139"/>
      <c r="N115" s="140"/>
      <c r="O115" s="137"/>
      <c r="P115" s="137"/>
      <c r="Q115" s="15"/>
      <c r="R115" s="12"/>
      <c r="S115" s="12"/>
      <c r="T115" s="12"/>
      <c r="U115" s="14"/>
      <c r="V115" s="15"/>
      <c r="W115" s="12"/>
      <c r="X115" s="12"/>
      <c r="Y115" s="12"/>
      <c r="Z115" s="12"/>
      <c r="AA115" s="12"/>
      <c r="AB115" s="14"/>
      <c r="AC115" s="15"/>
      <c r="AD115" s="12"/>
      <c r="AE115" s="12"/>
      <c r="AF115" s="14"/>
      <c r="AG115" s="18"/>
      <c r="AH115" s="18"/>
      <c r="AI115" s="17"/>
      <c r="AJ115" s="181"/>
      <c r="AK115" s="13"/>
      <c r="AL115" s="181"/>
      <c r="AM115" s="175"/>
      <c r="AN115" s="192"/>
      <c r="AO115" s="13"/>
      <c r="AP115" s="181"/>
      <c r="AQ115" s="175"/>
      <c r="AR115" s="18"/>
      <c r="AS115" s="12"/>
      <c r="AT115" s="12"/>
      <c r="AU115" s="12"/>
      <c r="AV115" s="12"/>
      <c r="AW115" s="137"/>
      <c r="AX115" s="13"/>
      <c r="AY115" s="138"/>
      <c r="AZ115" s="140"/>
      <c r="BA115" s="18"/>
      <c r="BB115" s="18" t="e">
        <f>IF(#REF!&lt;&gt;0,IF(LL[[#This Row],[Date of Birth]]&lt;&gt;0,YEAR(#REF!-LL[[#This Row],[Date of Birth]])-1900,""),"")</f>
        <v>#REF!</v>
      </c>
      <c r="BC115" s="2" t="str">
        <f>IF(LL[[#This Row],[Sx Onset Date]]&gt;0,LL[[#This Row],[Sx Onset Date]],"")</f>
        <v/>
      </c>
      <c r="BD115" s="2" t="str">
        <f>IF(LL[[#This Row],[Lab-confirmed?]]="Y",LL[[#This Row],[Test Date]],"")</f>
        <v/>
      </c>
      <c r="BE115" s="2" t="str">
        <f>IF(LL[[#This Row],[Lab-confirmed?]]="Y",LL[[#This Row],[Test Date 2]],"")</f>
        <v/>
      </c>
      <c r="BF115" s="139" t="str">
        <f>IF(LL[[#This Row],[Date Reported to Public Health]]&gt;0,LL[[#This Row],[Date Reported to Public Health]],"")</f>
        <v/>
      </c>
      <c r="BG115" s="13" t="str">
        <f t="shared" si="1"/>
        <v/>
      </c>
    </row>
    <row r="116" spans="1:59" x14ac:dyDescent="0.3">
      <c r="A116" s="11">
        <v>112</v>
      </c>
      <c r="B116" s="12"/>
      <c r="C116" s="13"/>
      <c r="D116" s="12"/>
      <c r="E116" s="12"/>
      <c r="F116" s="12"/>
      <c r="G116" s="16"/>
      <c r="H116" s="12"/>
      <c r="I116" s="14"/>
      <c r="J116" s="137"/>
      <c r="K116" s="137"/>
      <c r="L116" s="18"/>
      <c r="M116" s="139"/>
      <c r="N116" s="140"/>
      <c r="O116" s="137"/>
      <c r="P116" s="137"/>
      <c r="Q116" s="15"/>
      <c r="R116" s="12"/>
      <c r="S116" s="12"/>
      <c r="T116" s="12"/>
      <c r="U116" s="14"/>
      <c r="V116" s="15"/>
      <c r="W116" s="12"/>
      <c r="X116" s="12"/>
      <c r="Y116" s="12"/>
      <c r="Z116" s="12"/>
      <c r="AA116" s="12"/>
      <c r="AB116" s="14"/>
      <c r="AC116" s="15"/>
      <c r="AD116" s="12"/>
      <c r="AE116" s="12"/>
      <c r="AF116" s="14"/>
      <c r="AG116" s="18"/>
      <c r="AH116" s="18"/>
      <c r="AI116" s="17"/>
      <c r="AJ116" s="181"/>
      <c r="AK116" s="13"/>
      <c r="AL116" s="181"/>
      <c r="AM116" s="175"/>
      <c r="AN116" s="192"/>
      <c r="AO116" s="13"/>
      <c r="AP116" s="181"/>
      <c r="AQ116" s="175"/>
      <c r="AR116" s="18"/>
      <c r="AS116" s="12"/>
      <c r="AT116" s="12"/>
      <c r="AU116" s="12"/>
      <c r="AV116" s="12"/>
      <c r="AW116" s="137"/>
      <c r="AX116" s="13"/>
      <c r="AY116" s="138"/>
      <c r="AZ116" s="140"/>
      <c r="BA116" s="18"/>
      <c r="BB116" s="18" t="e">
        <f>IF(#REF!&lt;&gt;0,IF(LL[[#This Row],[Date of Birth]]&lt;&gt;0,YEAR(#REF!-LL[[#This Row],[Date of Birth]])-1900,""),"")</f>
        <v>#REF!</v>
      </c>
      <c r="BC116" s="2" t="str">
        <f>IF(LL[[#This Row],[Sx Onset Date]]&gt;0,LL[[#This Row],[Sx Onset Date]],"")</f>
        <v/>
      </c>
      <c r="BD116" s="2" t="str">
        <f>IF(LL[[#This Row],[Lab-confirmed?]]="Y",LL[[#This Row],[Test Date]],"")</f>
        <v/>
      </c>
      <c r="BE116" s="2" t="str">
        <f>IF(LL[[#This Row],[Lab-confirmed?]]="Y",LL[[#This Row],[Test Date 2]],"")</f>
        <v/>
      </c>
      <c r="BF116" s="139" t="str">
        <f>IF(LL[[#This Row],[Date Reported to Public Health]]&gt;0,LL[[#This Row],[Date Reported to Public Health]],"")</f>
        <v/>
      </c>
      <c r="BG116" s="13" t="str">
        <f t="shared" si="1"/>
        <v/>
      </c>
    </row>
    <row r="117" spans="1:59" x14ac:dyDescent="0.3">
      <c r="A117" s="11">
        <v>113</v>
      </c>
      <c r="B117" s="12"/>
      <c r="C117" s="13"/>
      <c r="D117" s="12"/>
      <c r="E117" s="12"/>
      <c r="F117" s="12"/>
      <c r="G117" s="16"/>
      <c r="H117" s="12"/>
      <c r="I117" s="14"/>
      <c r="J117" s="137"/>
      <c r="K117" s="137"/>
      <c r="L117" s="18"/>
      <c r="M117" s="139"/>
      <c r="N117" s="140"/>
      <c r="O117" s="137"/>
      <c r="P117" s="137"/>
      <c r="Q117" s="15"/>
      <c r="R117" s="12"/>
      <c r="S117" s="12"/>
      <c r="T117" s="12"/>
      <c r="U117" s="14"/>
      <c r="V117" s="15"/>
      <c r="W117" s="12"/>
      <c r="X117" s="12"/>
      <c r="Y117" s="12"/>
      <c r="Z117" s="12"/>
      <c r="AA117" s="12"/>
      <c r="AB117" s="14"/>
      <c r="AC117" s="15"/>
      <c r="AD117" s="12"/>
      <c r="AE117" s="12"/>
      <c r="AF117" s="14"/>
      <c r="AG117" s="18"/>
      <c r="AH117" s="18"/>
      <c r="AI117" s="17"/>
      <c r="AJ117" s="181"/>
      <c r="AK117" s="13"/>
      <c r="AL117" s="181"/>
      <c r="AM117" s="175"/>
      <c r="AN117" s="192"/>
      <c r="AO117" s="13"/>
      <c r="AP117" s="181"/>
      <c r="AQ117" s="175"/>
      <c r="AR117" s="18"/>
      <c r="AS117" s="12"/>
      <c r="AT117" s="12"/>
      <c r="AU117" s="12"/>
      <c r="AV117" s="12"/>
      <c r="AW117" s="137"/>
      <c r="AX117" s="13"/>
      <c r="AY117" s="138"/>
      <c r="AZ117" s="140"/>
      <c r="BA117" s="18"/>
      <c r="BB117" s="18" t="e">
        <f>IF(#REF!&lt;&gt;0,IF(LL[[#This Row],[Date of Birth]]&lt;&gt;0,YEAR(#REF!-LL[[#This Row],[Date of Birth]])-1900,""),"")</f>
        <v>#REF!</v>
      </c>
      <c r="BC117" s="2" t="str">
        <f>IF(LL[[#This Row],[Sx Onset Date]]&gt;0,LL[[#This Row],[Sx Onset Date]],"")</f>
        <v/>
      </c>
      <c r="BD117" s="2" t="str">
        <f>IF(LL[[#This Row],[Lab-confirmed?]]="Y",LL[[#This Row],[Test Date]],"")</f>
        <v/>
      </c>
      <c r="BE117" s="2" t="str">
        <f>IF(LL[[#This Row],[Lab-confirmed?]]="Y",LL[[#This Row],[Test Date 2]],"")</f>
        <v/>
      </c>
      <c r="BF117" s="139" t="str">
        <f>IF(LL[[#This Row],[Date Reported to Public Health]]&gt;0,LL[[#This Row],[Date Reported to Public Health]],"")</f>
        <v/>
      </c>
      <c r="BG117" s="13" t="str">
        <f t="shared" si="1"/>
        <v/>
      </c>
    </row>
    <row r="118" spans="1:59" x14ac:dyDescent="0.3">
      <c r="A118" s="11">
        <v>114</v>
      </c>
      <c r="B118" s="12"/>
      <c r="C118" s="13"/>
      <c r="D118" s="12"/>
      <c r="E118" s="12"/>
      <c r="F118" s="12"/>
      <c r="G118" s="16"/>
      <c r="H118" s="12"/>
      <c r="I118" s="14"/>
      <c r="J118" s="137"/>
      <c r="K118" s="137"/>
      <c r="L118" s="18"/>
      <c r="M118" s="139"/>
      <c r="N118" s="140"/>
      <c r="O118" s="137"/>
      <c r="P118" s="137"/>
      <c r="Q118" s="15"/>
      <c r="R118" s="12"/>
      <c r="S118" s="12"/>
      <c r="T118" s="12"/>
      <c r="U118" s="14"/>
      <c r="V118" s="15"/>
      <c r="W118" s="12"/>
      <c r="X118" s="12"/>
      <c r="Y118" s="12"/>
      <c r="Z118" s="12"/>
      <c r="AA118" s="12"/>
      <c r="AB118" s="14"/>
      <c r="AC118" s="15"/>
      <c r="AD118" s="12"/>
      <c r="AE118" s="12"/>
      <c r="AF118" s="14"/>
      <c r="AG118" s="18"/>
      <c r="AH118" s="18"/>
      <c r="AI118" s="17"/>
      <c r="AJ118" s="181"/>
      <c r="AK118" s="13"/>
      <c r="AL118" s="181"/>
      <c r="AM118" s="175"/>
      <c r="AN118" s="192"/>
      <c r="AO118" s="13"/>
      <c r="AP118" s="181"/>
      <c r="AQ118" s="175"/>
      <c r="AR118" s="18"/>
      <c r="AS118" s="12"/>
      <c r="AT118" s="12"/>
      <c r="AU118" s="12"/>
      <c r="AV118" s="12"/>
      <c r="AW118" s="137"/>
      <c r="AX118" s="13"/>
      <c r="AY118" s="138"/>
      <c r="AZ118" s="140"/>
      <c r="BA118" s="18"/>
      <c r="BB118" s="18" t="e">
        <f>IF(#REF!&lt;&gt;0,IF(LL[[#This Row],[Date of Birth]]&lt;&gt;0,YEAR(#REF!-LL[[#This Row],[Date of Birth]])-1900,""),"")</f>
        <v>#REF!</v>
      </c>
      <c r="BC118" s="2" t="str">
        <f>IF(LL[[#This Row],[Sx Onset Date]]&gt;0,LL[[#This Row],[Sx Onset Date]],"")</f>
        <v/>
      </c>
      <c r="BD118" s="2" t="str">
        <f>IF(LL[[#This Row],[Lab-confirmed?]]="Y",LL[[#This Row],[Test Date]],"")</f>
        <v/>
      </c>
      <c r="BE118" s="2" t="str">
        <f>IF(LL[[#This Row],[Lab-confirmed?]]="Y",LL[[#This Row],[Test Date 2]],"")</f>
        <v/>
      </c>
      <c r="BF118" s="139" t="str">
        <f>IF(LL[[#This Row],[Date Reported to Public Health]]&gt;0,LL[[#This Row],[Date Reported to Public Health]],"")</f>
        <v/>
      </c>
      <c r="BG118" s="13" t="str">
        <f t="shared" si="1"/>
        <v/>
      </c>
    </row>
    <row r="119" spans="1:59" x14ac:dyDescent="0.3">
      <c r="A119" s="11">
        <v>115</v>
      </c>
      <c r="B119" s="12"/>
      <c r="C119" s="13"/>
      <c r="D119" s="12"/>
      <c r="E119" s="12"/>
      <c r="F119" s="12"/>
      <c r="G119" s="16"/>
      <c r="H119" s="12"/>
      <c r="I119" s="14"/>
      <c r="J119" s="137"/>
      <c r="K119" s="137"/>
      <c r="L119" s="18"/>
      <c r="M119" s="139"/>
      <c r="N119" s="140"/>
      <c r="O119" s="137"/>
      <c r="P119" s="137"/>
      <c r="Q119" s="15"/>
      <c r="R119" s="12"/>
      <c r="S119" s="12"/>
      <c r="T119" s="12"/>
      <c r="U119" s="14"/>
      <c r="V119" s="15"/>
      <c r="W119" s="12"/>
      <c r="X119" s="12"/>
      <c r="Y119" s="12"/>
      <c r="Z119" s="12"/>
      <c r="AA119" s="12"/>
      <c r="AB119" s="14"/>
      <c r="AC119" s="15"/>
      <c r="AD119" s="12"/>
      <c r="AE119" s="12"/>
      <c r="AF119" s="14"/>
      <c r="AG119" s="18"/>
      <c r="AH119" s="18"/>
      <c r="AI119" s="17"/>
      <c r="AJ119" s="181"/>
      <c r="AK119" s="13"/>
      <c r="AL119" s="181"/>
      <c r="AM119" s="175"/>
      <c r="AN119" s="192"/>
      <c r="AO119" s="13"/>
      <c r="AP119" s="181"/>
      <c r="AQ119" s="175"/>
      <c r="AR119" s="18"/>
      <c r="AS119" s="12"/>
      <c r="AT119" s="12"/>
      <c r="AU119" s="12"/>
      <c r="AV119" s="12"/>
      <c r="AW119" s="137"/>
      <c r="AX119" s="13"/>
      <c r="AY119" s="138"/>
      <c r="AZ119" s="140"/>
      <c r="BA119" s="18"/>
      <c r="BB119" s="18" t="e">
        <f>IF(#REF!&lt;&gt;0,IF(LL[[#This Row],[Date of Birth]]&lt;&gt;0,YEAR(#REF!-LL[[#This Row],[Date of Birth]])-1900,""),"")</f>
        <v>#REF!</v>
      </c>
      <c r="BC119" s="2" t="str">
        <f>IF(LL[[#This Row],[Sx Onset Date]]&gt;0,LL[[#This Row],[Sx Onset Date]],"")</f>
        <v/>
      </c>
      <c r="BD119" s="2" t="str">
        <f>IF(LL[[#This Row],[Lab-confirmed?]]="Y",LL[[#This Row],[Test Date]],"")</f>
        <v/>
      </c>
      <c r="BE119" s="2" t="str">
        <f>IF(LL[[#This Row],[Lab-confirmed?]]="Y",LL[[#This Row],[Test Date 2]],"")</f>
        <v/>
      </c>
      <c r="BF119" s="139" t="str">
        <f>IF(LL[[#This Row],[Date Reported to Public Health]]&gt;0,LL[[#This Row],[Date Reported to Public Health]],"")</f>
        <v/>
      </c>
      <c r="BG119" s="13" t="str">
        <f t="shared" si="1"/>
        <v/>
      </c>
    </row>
    <row r="120" spans="1:59" x14ac:dyDescent="0.3">
      <c r="A120" s="11">
        <v>116</v>
      </c>
      <c r="B120" s="12"/>
      <c r="C120" s="13"/>
      <c r="D120" s="12"/>
      <c r="E120" s="12"/>
      <c r="F120" s="12"/>
      <c r="G120" s="16"/>
      <c r="H120" s="12"/>
      <c r="I120" s="14"/>
      <c r="J120" s="137"/>
      <c r="K120" s="137"/>
      <c r="L120" s="18"/>
      <c r="M120" s="139"/>
      <c r="N120" s="140"/>
      <c r="O120" s="137"/>
      <c r="P120" s="137"/>
      <c r="Q120" s="15"/>
      <c r="R120" s="12"/>
      <c r="S120" s="12"/>
      <c r="T120" s="12"/>
      <c r="U120" s="14"/>
      <c r="V120" s="15"/>
      <c r="W120" s="12"/>
      <c r="X120" s="12"/>
      <c r="Y120" s="12"/>
      <c r="Z120" s="12"/>
      <c r="AA120" s="12"/>
      <c r="AB120" s="14"/>
      <c r="AC120" s="15"/>
      <c r="AD120" s="12"/>
      <c r="AE120" s="12"/>
      <c r="AF120" s="14"/>
      <c r="AG120" s="18"/>
      <c r="AH120" s="18"/>
      <c r="AI120" s="17"/>
      <c r="AJ120" s="181"/>
      <c r="AK120" s="13"/>
      <c r="AL120" s="181"/>
      <c r="AM120" s="175"/>
      <c r="AN120" s="192"/>
      <c r="AO120" s="13"/>
      <c r="AP120" s="181"/>
      <c r="AQ120" s="175"/>
      <c r="AR120" s="18"/>
      <c r="AS120" s="12"/>
      <c r="AT120" s="12"/>
      <c r="AU120" s="12"/>
      <c r="AV120" s="12"/>
      <c r="AW120" s="137"/>
      <c r="AX120" s="13"/>
      <c r="AY120" s="138"/>
      <c r="AZ120" s="140"/>
      <c r="BA120" s="18"/>
      <c r="BB120" s="18" t="e">
        <f>IF(#REF!&lt;&gt;0,IF(LL[[#This Row],[Date of Birth]]&lt;&gt;0,YEAR(#REF!-LL[[#This Row],[Date of Birth]])-1900,""),"")</f>
        <v>#REF!</v>
      </c>
      <c r="BC120" s="2" t="str">
        <f>IF(LL[[#This Row],[Sx Onset Date]]&gt;0,LL[[#This Row],[Sx Onset Date]],"")</f>
        <v/>
      </c>
      <c r="BD120" s="2" t="str">
        <f>IF(LL[[#This Row],[Lab-confirmed?]]="Y",LL[[#This Row],[Test Date]],"")</f>
        <v/>
      </c>
      <c r="BE120" s="2" t="str">
        <f>IF(LL[[#This Row],[Lab-confirmed?]]="Y",LL[[#This Row],[Test Date 2]],"")</f>
        <v/>
      </c>
      <c r="BF120" s="139" t="str">
        <f>IF(LL[[#This Row],[Date Reported to Public Health]]&gt;0,LL[[#This Row],[Date Reported to Public Health]],"")</f>
        <v/>
      </c>
      <c r="BG120" s="13" t="str">
        <f t="shared" si="1"/>
        <v/>
      </c>
    </row>
    <row r="121" spans="1:59" x14ac:dyDescent="0.3">
      <c r="A121" s="11">
        <v>117</v>
      </c>
      <c r="B121" s="12"/>
      <c r="C121" s="13"/>
      <c r="D121" s="12"/>
      <c r="E121" s="12"/>
      <c r="F121" s="12"/>
      <c r="G121" s="16"/>
      <c r="H121" s="12"/>
      <c r="I121" s="14"/>
      <c r="J121" s="137"/>
      <c r="K121" s="137"/>
      <c r="L121" s="18"/>
      <c r="M121" s="139"/>
      <c r="N121" s="140"/>
      <c r="O121" s="137"/>
      <c r="P121" s="137"/>
      <c r="Q121" s="15"/>
      <c r="R121" s="12"/>
      <c r="S121" s="12"/>
      <c r="T121" s="12"/>
      <c r="U121" s="14"/>
      <c r="V121" s="15"/>
      <c r="W121" s="12"/>
      <c r="X121" s="12"/>
      <c r="Y121" s="12"/>
      <c r="Z121" s="12"/>
      <c r="AA121" s="12"/>
      <c r="AB121" s="14"/>
      <c r="AC121" s="15"/>
      <c r="AD121" s="12"/>
      <c r="AE121" s="12"/>
      <c r="AF121" s="14"/>
      <c r="AG121" s="18"/>
      <c r="AH121" s="18"/>
      <c r="AI121" s="17"/>
      <c r="AJ121" s="181"/>
      <c r="AK121" s="13"/>
      <c r="AL121" s="181"/>
      <c r="AM121" s="175"/>
      <c r="AN121" s="192"/>
      <c r="AO121" s="13"/>
      <c r="AP121" s="181"/>
      <c r="AQ121" s="175"/>
      <c r="AR121" s="18"/>
      <c r="AS121" s="12"/>
      <c r="AT121" s="12"/>
      <c r="AU121" s="12"/>
      <c r="AV121" s="12"/>
      <c r="AW121" s="137"/>
      <c r="AX121" s="13"/>
      <c r="AY121" s="138"/>
      <c r="AZ121" s="140"/>
      <c r="BA121" s="18"/>
      <c r="BB121" s="18" t="e">
        <f>IF(#REF!&lt;&gt;0,IF(LL[[#This Row],[Date of Birth]]&lt;&gt;0,YEAR(#REF!-LL[[#This Row],[Date of Birth]])-1900,""),"")</f>
        <v>#REF!</v>
      </c>
      <c r="BC121" s="2" t="str">
        <f>IF(LL[[#This Row],[Sx Onset Date]]&gt;0,LL[[#This Row],[Sx Onset Date]],"")</f>
        <v/>
      </c>
      <c r="BD121" s="2" t="str">
        <f>IF(LL[[#This Row],[Lab-confirmed?]]="Y",LL[[#This Row],[Test Date]],"")</f>
        <v/>
      </c>
      <c r="BE121" s="2" t="str">
        <f>IF(LL[[#This Row],[Lab-confirmed?]]="Y",LL[[#This Row],[Test Date 2]],"")</f>
        <v/>
      </c>
      <c r="BF121" s="139" t="str">
        <f>IF(LL[[#This Row],[Date Reported to Public Health]]&gt;0,LL[[#This Row],[Date Reported to Public Health]],"")</f>
        <v/>
      </c>
      <c r="BG121" s="13" t="str">
        <f t="shared" si="1"/>
        <v/>
      </c>
    </row>
    <row r="122" spans="1:59" x14ac:dyDescent="0.3">
      <c r="A122" s="11">
        <v>118</v>
      </c>
      <c r="B122" s="12"/>
      <c r="C122" s="13"/>
      <c r="D122" s="12"/>
      <c r="E122" s="12"/>
      <c r="F122" s="12"/>
      <c r="G122" s="16"/>
      <c r="H122" s="12"/>
      <c r="I122" s="14"/>
      <c r="J122" s="137"/>
      <c r="K122" s="137"/>
      <c r="L122" s="18"/>
      <c r="M122" s="139"/>
      <c r="N122" s="140"/>
      <c r="O122" s="137"/>
      <c r="P122" s="137"/>
      <c r="Q122" s="15"/>
      <c r="R122" s="12"/>
      <c r="S122" s="12"/>
      <c r="T122" s="12"/>
      <c r="U122" s="14"/>
      <c r="V122" s="15"/>
      <c r="W122" s="12"/>
      <c r="X122" s="12"/>
      <c r="Y122" s="12"/>
      <c r="Z122" s="12"/>
      <c r="AA122" s="12"/>
      <c r="AB122" s="14"/>
      <c r="AC122" s="15"/>
      <c r="AD122" s="12"/>
      <c r="AE122" s="12"/>
      <c r="AF122" s="14"/>
      <c r="AG122" s="18"/>
      <c r="AH122" s="18"/>
      <c r="AI122" s="17"/>
      <c r="AJ122" s="181"/>
      <c r="AK122" s="13"/>
      <c r="AL122" s="181"/>
      <c r="AM122" s="175"/>
      <c r="AN122" s="192"/>
      <c r="AO122" s="13"/>
      <c r="AP122" s="181"/>
      <c r="AQ122" s="175"/>
      <c r="AR122" s="18"/>
      <c r="AS122" s="12"/>
      <c r="AT122" s="12"/>
      <c r="AU122" s="12"/>
      <c r="AV122" s="12"/>
      <c r="AW122" s="137"/>
      <c r="AX122" s="13"/>
      <c r="AY122" s="138"/>
      <c r="AZ122" s="140"/>
      <c r="BA122" s="18"/>
      <c r="BB122" s="18" t="e">
        <f>IF(#REF!&lt;&gt;0,IF(LL[[#This Row],[Date of Birth]]&lt;&gt;0,YEAR(#REF!-LL[[#This Row],[Date of Birth]])-1900,""),"")</f>
        <v>#REF!</v>
      </c>
      <c r="BC122" s="2" t="str">
        <f>IF(LL[[#This Row],[Sx Onset Date]]&gt;0,LL[[#This Row],[Sx Onset Date]],"")</f>
        <v/>
      </c>
      <c r="BD122" s="2" t="str">
        <f>IF(LL[[#This Row],[Lab-confirmed?]]="Y",LL[[#This Row],[Test Date]],"")</f>
        <v/>
      </c>
      <c r="BE122" s="2" t="str">
        <f>IF(LL[[#This Row],[Lab-confirmed?]]="Y",LL[[#This Row],[Test Date 2]],"")</f>
        <v/>
      </c>
      <c r="BF122" s="139" t="str">
        <f>IF(LL[[#This Row],[Date Reported to Public Health]]&gt;0,LL[[#This Row],[Date Reported to Public Health]],"")</f>
        <v/>
      </c>
      <c r="BG122" s="13" t="str">
        <f t="shared" si="1"/>
        <v/>
      </c>
    </row>
    <row r="123" spans="1:59" x14ac:dyDescent="0.3">
      <c r="A123" s="11">
        <v>119</v>
      </c>
      <c r="B123" s="12"/>
      <c r="C123" s="13"/>
      <c r="D123" s="12"/>
      <c r="E123" s="12"/>
      <c r="F123" s="12"/>
      <c r="G123" s="16"/>
      <c r="H123" s="12"/>
      <c r="I123" s="14"/>
      <c r="J123" s="137"/>
      <c r="K123" s="137"/>
      <c r="L123" s="18"/>
      <c r="M123" s="139"/>
      <c r="N123" s="140"/>
      <c r="O123" s="137"/>
      <c r="P123" s="137"/>
      <c r="Q123" s="15"/>
      <c r="R123" s="12"/>
      <c r="S123" s="12"/>
      <c r="T123" s="12"/>
      <c r="U123" s="14"/>
      <c r="V123" s="15"/>
      <c r="W123" s="12"/>
      <c r="X123" s="12"/>
      <c r="Y123" s="12"/>
      <c r="Z123" s="12"/>
      <c r="AA123" s="12"/>
      <c r="AB123" s="14"/>
      <c r="AC123" s="15"/>
      <c r="AD123" s="12"/>
      <c r="AE123" s="12"/>
      <c r="AF123" s="14"/>
      <c r="AG123" s="18"/>
      <c r="AH123" s="18"/>
      <c r="AI123" s="17"/>
      <c r="AJ123" s="181"/>
      <c r="AK123" s="13"/>
      <c r="AL123" s="181"/>
      <c r="AM123" s="175"/>
      <c r="AN123" s="192"/>
      <c r="AO123" s="13"/>
      <c r="AP123" s="181"/>
      <c r="AQ123" s="175"/>
      <c r="AR123" s="18"/>
      <c r="AS123" s="12"/>
      <c r="AT123" s="12"/>
      <c r="AU123" s="12"/>
      <c r="AV123" s="12"/>
      <c r="AW123" s="137"/>
      <c r="AX123" s="13"/>
      <c r="AY123" s="138"/>
      <c r="AZ123" s="140"/>
      <c r="BA123" s="18"/>
      <c r="BB123" s="18" t="e">
        <f>IF(#REF!&lt;&gt;0,IF(LL[[#This Row],[Date of Birth]]&lt;&gt;0,YEAR(#REF!-LL[[#This Row],[Date of Birth]])-1900,""),"")</f>
        <v>#REF!</v>
      </c>
      <c r="BC123" s="2" t="str">
        <f>IF(LL[[#This Row],[Sx Onset Date]]&gt;0,LL[[#This Row],[Sx Onset Date]],"")</f>
        <v/>
      </c>
      <c r="BD123" s="2" t="str">
        <f>IF(LL[[#This Row],[Lab-confirmed?]]="Y",LL[[#This Row],[Test Date]],"")</f>
        <v/>
      </c>
      <c r="BE123" s="2" t="str">
        <f>IF(LL[[#This Row],[Lab-confirmed?]]="Y",LL[[#This Row],[Test Date 2]],"")</f>
        <v/>
      </c>
      <c r="BF123" s="139" t="str">
        <f>IF(LL[[#This Row],[Date Reported to Public Health]]&gt;0,LL[[#This Row],[Date Reported to Public Health]],"")</f>
        <v/>
      </c>
      <c r="BG123" s="13" t="str">
        <f t="shared" si="1"/>
        <v/>
      </c>
    </row>
    <row r="124" spans="1:59" x14ac:dyDescent="0.3">
      <c r="A124" s="11">
        <v>120</v>
      </c>
      <c r="B124" s="12"/>
      <c r="C124" s="13"/>
      <c r="D124" s="12"/>
      <c r="E124" s="12"/>
      <c r="F124" s="12"/>
      <c r="G124" s="16"/>
      <c r="H124" s="12"/>
      <c r="I124" s="14"/>
      <c r="J124" s="137"/>
      <c r="K124" s="137"/>
      <c r="L124" s="18"/>
      <c r="M124" s="139"/>
      <c r="N124" s="140"/>
      <c r="O124" s="137"/>
      <c r="P124" s="137"/>
      <c r="Q124" s="15"/>
      <c r="R124" s="12"/>
      <c r="S124" s="12"/>
      <c r="T124" s="12"/>
      <c r="U124" s="14"/>
      <c r="V124" s="15"/>
      <c r="W124" s="12"/>
      <c r="X124" s="12"/>
      <c r="Y124" s="12"/>
      <c r="Z124" s="12"/>
      <c r="AA124" s="12"/>
      <c r="AB124" s="14"/>
      <c r="AC124" s="15"/>
      <c r="AD124" s="12"/>
      <c r="AE124" s="12"/>
      <c r="AF124" s="14"/>
      <c r="AG124" s="18"/>
      <c r="AH124" s="18"/>
      <c r="AI124" s="17"/>
      <c r="AJ124" s="181"/>
      <c r="AK124" s="13"/>
      <c r="AL124" s="181"/>
      <c r="AM124" s="175"/>
      <c r="AN124" s="192"/>
      <c r="AO124" s="13"/>
      <c r="AP124" s="181"/>
      <c r="AQ124" s="175"/>
      <c r="AR124" s="18"/>
      <c r="AS124" s="12"/>
      <c r="AT124" s="12"/>
      <c r="AU124" s="12"/>
      <c r="AV124" s="12"/>
      <c r="AW124" s="137"/>
      <c r="AX124" s="13"/>
      <c r="AY124" s="138"/>
      <c r="AZ124" s="140"/>
      <c r="BA124" s="18"/>
      <c r="BB124" s="18" t="e">
        <f>IF(#REF!&lt;&gt;0,IF(LL[[#This Row],[Date of Birth]]&lt;&gt;0,YEAR(#REF!-LL[[#This Row],[Date of Birth]])-1900,""),"")</f>
        <v>#REF!</v>
      </c>
      <c r="BC124" s="2" t="str">
        <f>IF(LL[[#This Row],[Sx Onset Date]]&gt;0,LL[[#This Row],[Sx Onset Date]],"")</f>
        <v/>
      </c>
      <c r="BD124" s="2" t="str">
        <f>IF(LL[[#This Row],[Lab-confirmed?]]="Y",LL[[#This Row],[Test Date]],"")</f>
        <v/>
      </c>
      <c r="BE124" s="2" t="str">
        <f>IF(LL[[#This Row],[Lab-confirmed?]]="Y",LL[[#This Row],[Test Date 2]],"")</f>
        <v/>
      </c>
      <c r="BF124" s="139" t="str">
        <f>IF(LL[[#This Row],[Date Reported to Public Health]]&gt;0,LL[[#This Row],[Date Reported to Public Health]],"")</f>
        <v/>
      </c>
      <c r="BG124" s="13" t="str">
        <f t="shared" si="1"/>
        <v/>
      </c>
    </row>
    <row r="125" spans="1:59" x14ac:dyDescent="0.3">
      <c r="A125" s="11">
        <v>121</v>
      </c>
      <c r="B125" s="12"/>
      <c r="C125" s="13"/>
      <c r="D125" s="12"/>
      <c r="E125" s="12"/>
      <c r="F125" s="12"/>
      <c r="G125" s="16"/>
      <c r="H125" s="12"/>
      <c r="I125" s="14"/>
      <c r="J125" s="137"/>
      <c r="K125" s="137"/>
      <c r="L125" s="18"/>
      <c r="M125" s="139"/>
      <c r="N125" s="140"/>
      <c r="O125" s="137"/>
      <c r="P125" s="137"/>
      <c r="Q125" s="15"/>
      <c r="R125" s="12"/>
      <c r="S125" s="12"/>
      <c r="T125" s="12"/>
      <c r="U125" s="14"/>
      <c r="V125" s="15"/>
      <c r="W125" s="12"/>
      <c r="X125" s="12"/>
      <c r="Y125" s="12"/>
      <c r="Z125" s="12"/>
      <c r="AA125" s="12"/>
      <c r="AB125" s="14"/>
      <c r="AC125" s="15"/>
      <c r="AD125" s="12"/>
      <c r="AE125" s="12"/>
      <c r="AF125" s="14"/>
      <c r="AG125" s="18"/>
      <c r="AH125" s="18"/>
      <c r="AI125" s="17"/>
      <c r="AJ125" s="181"/>
      <c r="AK125" s="13"/>
      <c r="AL125" s="181"/>
      <c r="AM125" s="175"/>
      <c r="AN125" s="192"/>
      <c r="AO125" s="13"/>
      <c r="AP125" s="181"/>
      <c r="AQ125" s="175"/>
      <c r="AR125" s="18"/>
      <c r="AS125" s="12"/>
      <c r="AT125" s="12"/>
      <c r="AU125" s="12"/>
      <c r="AV125" s="12"/>
      <c r="AW125" s="137"/>
      <c r="AX125" s="13"/>
      <c r="AY125" s="138"/>
      <c r="AZ125" s="140"/>
      <c r="BA125" s="18"/>
      <c r="BB125" s="18" t="e">
        <f>IF(#REF!&lt;&gt;0,IF(LL[[#This Row],[Date of Birth]]&lt;&gt;0,YEAR(#REF!-LL[[#This Row],[Date of Birth]])-1900,""),"")</f>
        <v>#REF!</v>
      </c>
      <c r="BC125" s="2" t="str">
        <f>IF(LL[[#This Row],[Sx Onset Date]]&gt;0,LL[[#This Row],[Sx Onset Date]],"")</f>
        <v/>
      </c>
      <c r="BD125" s="2" t="str">
        <f>IF(LL[[#This Row],[Lab-confirmed?]]="Y",LL[[#This Row],[Test Date]],"")</f>
        <v/>
      </c>
      <c r="BE125" s="2" t="str">
        <f>IF(LL[[#This Row],[Lab-confirmed?]]="Y",LL[[#This Row],[Test Date 2]],"")</f>
        <v/>
      </c>
      <c r="BF125" s="139" t="str">
        <f>IF(LL[[#This Row],[Date Reported to Public Health]]&gt;0,LL[[#This Row],[Date Reported to Public Health]],"")</f>
        <v/>
      </c>
      <c r="BG125" s="13" t="str">
        <f t="shared" si="1"/>
        <v/>
      </c>
    </row>
    <row r="126" spans="1:59" x14ac:dyDescent="0.3">
      <c r="A126" s="11">
        <v>122</v>
      </c>
      <c r="B126" s="12"/>
      <c r="C126" s="13"/>
      <c r="D126" s="12"/>
      <c r="E126" s="12"/>
      <c r="F126" s="12"/>
      <c r="G126" s="16"/>
      <c r="H126" s="12"/>
      <c r="I126" s="14"/>
      <c r="J126" s="137"/>
      <c r="K126" s="137"/>
      <c r="L126" s="18"/>
      <c r="M126" s="139"/>
      <c r="N126" s="140"/>
      <c r="O126" s="137"/>
      <c r="P126" s="137"/>
      <c r="Q126" s="15"/>
      <c r="R126" s="12"/>
      <c r="S126" s="12"/>
      <c r="T126" s="12"/>
      <c r="U126" s="14"/>
      <c r="V126" s="15"/>
      <c r="W126" s="12"/>
      <c r="X126" s="12"/>
      <c r="Y126" s="12"/>
      <c r="Z126" s="12"/>
      <c r="AA126" s="12"/>
      <c r="AB126" s="14"/>
      <c r="AC126" s="15"/>
      <c r="AD126" s="12"/>
      <c r="AE126" s="12"/>
      <c r="AF126" s="14"/>
      <c r="AG126" s="18"/>
      <c r="AH126" s="18"/>
      <c r="AI126" s="17"/>
      <c r="AJ126" s="181"/>
      <c r="AK126" s="13"/>
      <c r="AL126" s="181"/>
      <c r="AM126" s="175"/>
      <c r="AN126" s="192"/>
      <c r="AO126" s="13"/>
      <c r="AP126" s="181"/>
      <c r="AQ126" s="175"/>
      <c r="AR126" s="18"/>
      <c r="AS126" s="12"/>
      <c r="AT126" s="12"/>
      <c r="AU126" s="12"/>
      <c r="AV126" s="12"/>
      <c r="AW126" s="137"/>
      <c r="AX126" s="13"/>
      <c r="AY126" s="138"/>
      <c r="AZ126" s="140"/>
      <c r="BA126" s="18"/>
      <c r="BB126" s="18" t="e">
        <f>IF(#REF!&lt;&gt;0,IF(LL[[#This Row],[Date of Birth]]&lt;&gt;0,YEAR(#REF!-LL[[#This Row],[Date of Birth]])-1900,""),"")</f>
        <v>#REF!</v>
      </c>
      <c r="BC126" s="2" t="str">
        <f>IF(LL[[#This Row],[Sx Onset Date]]&gt;0,LL[[#This Row],[Sx Onset Date]],"")</f>
        <v/>
      </c>
      <c r="BD126" s="2" t="str">
        <f>IF(LL[[#This Row],[Lab-confirmed?]]="Y",LL[[#This Row],[Test Date]],"")</f>
        <v/>
      </c>
      <c r="BE126" s="2" t="str">
        <f>IF(LL[[#This Row],[Lab-confirmed?]]="Y",LL[[#This Row],[Test Date 2]],"")</f>
        <v/>
      </c>
      <c r="BF126" s="139" t="str">
        <f>IF(LL[[#This Row],[Date Reported to Public Health]]&gt;0,LL[[#This Row],[Date Reported to Public Health]],"")</f>
        <v/>
      </c>
      <c r="BG126" s="13" t="str">
        <f t="shared" si="1"/>
        <v/>
      </c>
    </row>
    <row r="127" spans="1:59" x14ac:dyDescent="0.3">
      <c r="A127" s="11">
        <v>123</v>
      </c>
      <c r="B127" s="12"/>
      <c r="C127" s="13"/>
      <c r="D127" s="12"/>
      <c r="E127" s="12"/>
      <c r="F127" s="12"/>
      <c r="G127" s="16"/>
      <c r="H127" s="12"/>
      <c r="I127" s="14"/>
      <c r="J127" s="137"/>
      <c r="K127" s="137"/>
      <c r="L127" s="18"/>
      <c r="M127" s="139"/>
      <c r="N127" s="140"/>
      <c r="O127" s="137"/>
      <c r="P127" s="137"/>
      <c r="Q127" s="15"/>
      <c r="R127" s="12"/>
      <c r="S127" s="12"/>
      <c r="T127" s="12"/>
      <c r="U127" s="14"/>
      <c r="V127" s="15"/>
      <c r="W127" s="12"/>
      <c r="X127" s="12"/>
      <c r="Y127" s="12"/>
      <c r="Z127" s="12"/>
      <c r="AA127" s="12"/>
      <c r="AB127" s="14"/>
      <c r="AC127" s="15"/>
      <c r="AD127" s="12"/>
      <c r="AE127" s="12"/>
      <c r="AF127" s="14"/>
      <c r="AG127" s="18"/>
      <c r="AH127" s="18"/>
      <c r="AI127" s="17"/>
      <c r="AJ127" s="181"/>
      <c r="AK127" s="13"/>
      <c r="AL127" s="181"/>
      <c r="AM127" s="175"/>
      <c r="AN127" s="192"/>
      <c r="AO127" s="13"/>
      <c r="AP127" s="181"/>
      <c r="AQ127" s="175"/>
      <c r="AR127" s="18"/>
      <c r="AS127" s="12"/>
      <c r="AT127" s="12"/>
      <c r="AU127" s="12"/>
      <c r="AV127" s="12"/>
      <c r="AW127" s="137"/>
      <c r="AX127" s="13"/>
      <c r="AY127" s="138"/>
      <c r="AZ127" s="140"/>
      <c r="BA127" s="18"/>
      <c r="BB127" s="18" t="e">
        <f>IF(#REF!&lt;&gt;0,IF(LL[[#This Row],[Date of Birth]]&lt;&gt;0,YEAR(#REF!-LL[[#This Row],[Date of Birth]])-1900,""),"")</f>
        <v>#REF!</v>
      </c>
      <c r="BC127" s="2" t="str">
        <f>IF(LL[[#This Row],[Sx Onset Date]]&gt;0,LL[[#This Row],[Sx Onset Date]],"")</f>
        <v/>
      </c>
      <c r="BD127" s="2" t="str">
        <f>IF(LL[[#This Row],[Lab-confirmed?]]="Y",LL[[#This Row],[Test Date]],"")</f>
        <v/>
      </c>
      <c r="BE127" s="2" t="str">
        <f>IF(LL[[#This Row],[Lab-confirmed?]]="Y",LL[[#This Row],[Test Date 2]],"")</f>
        <v/>
      </c>
      <c r="BF127" s="139" t="str">
        <f>IF(LL[[#This Row],[Date Reported to Public Health]]&gt;0,LL[[#This Row],[Date Reported to Public Health]],"")</f>
        <v/>
      </c>
      <c r="BG127" s="13" t="str">
        <f t="shared" si="1"/>
        <v/>
      </c>
    </row>
    <row r="128" spans="1:59" x14ac:dyDescent="0.3">
      <c r="A128" s="11">
        <v>124</v>
      </c>
      <c r="B128" s="12"/>
      <c r="C128" s="13"/>
      <c r="D128" s="12"/>
      <c r="E128" s="12"/>
      <c r="F128" s="12"/>
      <c r="G128" s="16"/>
      <c r="H128" s="12"/>
      <c r="I128" s="14"/>
      <c r="J128" s="137"/>
      <c r="K128" s="137"/>
      <c r="L128" s="18"/>
      <c r="M128" s="139"/>
      <c r="N128" s="140"/>
      <c r="O128" s="137"/>
      <c r="P128" s="137"/>
      <c r="Q128" s="15"/>
      <c r="R128" s="12"/>
      <c r="S128" s="12"/>
      <c r="T128" s="12"/>
      <c r="U128" s="14"/>
      <c r="V128" s="15"/>
      <c r="W128" s="12"/>
      <c r="X128" s="12"/>
      <c r="Y128" s="12"/>
      <c r="Z128" s="12"/>
      <c r="AA128" s="12"/>
      <c r="AB128" s="14"/>
      <c r="AC128" s="15"/>
      <c r="AD128" s="12"/>
      <c r="AE128" s="12"/>
      <c r="AF128" s="14"/>
      <c r="AG128" s="18"/>
      <c r="AH128" s="18"/>
      <c r="AI128" s="17"/>
      <c r="AJ128" s="181"/>
      <c r="AK128" s="13"/>
      <c r="AL128" s="181"/>
      <c r="AM128" s="175"/>
      <c r="AN128" s="192"/>
      <c r="AO128" s="13"/>
      <c r="AP128" s="181"/>
      <c r="AQ128" s="175"/>
      <c r="AR128" s="18"/>
      <c r="AS128" s="12"/>
      <c r="AT128" s="12"/>
      <c r="AU128" s="12"/>
      <c r="AV128" s="12"/>
      <c r="AW128" s="137"/>
      <c r="AX128" s="13"/>
      <c r="AY128" s="138"/>
      <c r="AZ128" s="140"/>
      <c r="BA128" s="18"/>
      <c r="BB128" s="18" t="e">
        <f>IF(#REF!&lt;&gt;0,IF(LL[[#This Row],[Date of Birth]]&lt;&gt;0,YEAR(#REF!-LL[[#This Row],[Date of Birth]])-1900,""),"")</f>
        <v>#REF!</v>
      </c>
      <c r="BC128" s="2" t="str">
        <f>IF(LL[[#This Row],[Sx Onset Date]]&gt;0,LL[[#This Row],[Sx Onset Date]],"")</f>
        <v/>
      </c>
      <c r="BD128" s="2" t="str">
        <f>IF(LL[[#This Row],[Lab-confirmed?]]="Y",LL[[#This Row],[Test Date]],"")</f>
        <v/>
      </c>
      <c r="BE128" s="2" t="str">
        <f>IF(LL[[#This Row],[Lab-confirmed?]]="Y",LL[[#This Row],[Test Date 2]],"")</f>
        <v/>
      </c>
      <c r="BF128" s="139" t="str">
        <f>IF(LL[[#This Row],[Date Reported to Public Health]]&gt;0,LL[[#This Row],[Date Reported to Public Health]],"")</f>
        <v/>
      </c>
      <c r="BG128" s="13" t="str">
        <f t="shared" si="1"/>
        <v/>
      </c>
    </row>
    <row r="129" spans="1:59" x14ac:dyDescent="0.3">
      <c r="A129" s="11">
        <v>125</v>
      </c>
      <c r="B129" s="12"/>
      <c r="C129" s="13"/>
      <c r="D129" s="12"/>
      <c r="E129" s="12"/>
      <c r="F129" s="12"/>
      <c r="G129" s="16"/>
      <c r="H129" s="12"/>
      <c r="I129" s="14"/>
      <c r="J129" s="137"/>
      <c r="K129" s="137"/>
      <c r="L129" s="18"/>
      <c r="M129" s="139"/>
      <c r="N129" s="140"/>
      <c r="O129" s="137"/>
      <c r="P129" s="137"/>
      <c r="Q129" s="15"/>
      <c r="R129" s="12"/>
      <c r="S129" s="12"/>
      <c r="T129" s="12"/>
      <c r="U129" s="14"/>
      <c r="V129" s="15"/>
      <c r="W129" s="12"/>
      <c r="X129" s="12"/>
      <c r="Y129" s="12"/>
      <c r="Z129" s="12"/>
      <c r="AA129" s="12"/>
      <c r="AB129" s="14"/>
      <c r="AC129" s="15"/>
      <c r="AD129" s="12"/>
      <c r="AE129" s="12"/>
      <c r="AF129" s="14"/>
      <c r="AG129" s="18"/>
      <c r="AH129" s="18"/>
      <c r="AI129" s="17"/>
      <c r="AJ129" s="181"/>
      <c r="AK129" s="13"/>
      <c r="AL129" s="181"/>
      <c r="AM129" s="175"/>
      <c r="AN129" s="192"/>
      <c r="AO129" s="13"/>
      <c r="AP129" s="181"/>
      <c r="AQ129" s="175"/>
      <c r="AR129" s="18"/>
      <c r="AS129" s="12"/>
      <c r="AT129" s="12"/>
      <c r="AU129" s="12"/>
      <c r="AV129" s="12"/>
      <c r="AW129" s="137"/>
      <c r="AX129" s="13"/>
      <c r="AY129" s="138"/>
      <c r="AZ129" s="140"/>
      <c r="BA129" s="18"/>
      <c r="BB129" s="18" t="e">
        <f>IF(#REF!&lt;&gt;0,IF(LL[[#This Row],[Date of Birth]]&lt;&gt;0,YEAR(#REF!-LL[[#This Row],[Date of Birth]])-1900,""),"")</f>
        <v>#REF!</v>
      </c>
      <c r="BC129" s="2" t="str">
        <f>IF(LL[[#This Row],[Sx Onset Date]]&gt;0,LL[[#This Row],[Sx Onset Date]],"")</f>
        <v/>
      </c>
      <c r="BD129" s="2" t="str">
        <f>IF(LL[[#This Row],[Lab-confirmed?]]="Y",LL[[#This Row],[Test Date]],"")</f>
        <v/>
      </c>
      <c r="BE129" s="2" t="str">
        <f>IF(LL[[#This Row],[Lab-confirmed?]]="Y",LL[[#This Row],[Test Date 2]],"")</f>
        <v/>
      </c>
      <c r="BF129" s="139" t="str">
        <f>IF(LL[[#This Row],[Date Reported to Public Health]]&gt;0,LL[[#This Row],[Date Reported to Public Health]],"")</f>
        <v/>
      </c>
      <c r="BG129" s="13" t="str">
        <f t="shared" si="1"/>
        <v/>
      </c>
    </row>
    <row r="130" spans="1:59" x14ac:dyDescent="0.3">
      <c r="A130" s="11">
        <v>126</v>
      </c>
      <c r="B130" s="12"/>
      <c r="C130" s="13"/>
      <c r="D130" s="12"/>
      <c r="E130" s="12"/>
      <c r="F130" s="12"/>
      <c r="G130" s="16"/>
      <c r="H130" s="12"/>
      <c r="I130" s="14"/>
      <c r="J130" s="137"/>
      <c r="K130" s="137"/>
      <c r="L130" s="18"/>
      <c r="M130" s="139"/>
      <c r="N130" s="140"/>
      <c r="O130" s="137"/>
      <c r="P130" s="137"/>
      <c r="Q130" s="15"/>
      <c r="R130" s="12"/>
      <c r="S130" s="12"/>
      <c r="T130" s="12"/>
      <c r="U130" s="14"/>
      <c r="V130" s="15"/>
      <c r="W130" s="12"/>
      <c r="X130" s="12"/>
      <c r="Y130" s="12"/>
      <c r="Z130" s="12"/>
      <c r="AA130" s="12"/>
      <c r="AB130" s="14"/>
      <c r="AC130" s="15"/>
      <c r="AD130" s="12"/>
      <c r="AE130" s="12"/>
      <c r="AF130" s="14"/>
      <c r="AG130" s="18"/>
      <c r="AH130" s="18"/>
      <c r="AI130" s="17"/>
      <c r="AJ130" s="181"/>
      <c r="AK130" s="13"/>
      <c r="AL130" s="181"/>
      <c r="AM130" s="175"/>
      <c r="AN130" s="192"/>
      <c r="AO130" s="13"/>
      <c r="AP130" s="181"/>
      <c r="AQ130" s="175"/>
      <c r="AR130" s="18"/>
      <c r="AS130" s="12"/>
      <c r="AT130" s="12"/>
      <c r="AU130" s="12"/>
      <c r="AV130" s="12"/>
      <c r="AW130" s="137"/>
      <c r="AX130" s="13"/>
      <c r="AY130" s="138"/>
      <c r="AZ130" s="140"/>
      <c r="BA130" s="18"/>
      <c r="BB130" s="18" t="e">
        <f>IF(#REF!&lt;&gt;0,IF(LL[[#This Row],[Date of Birth]]&lt;&gt;0,YEAR(#REF!-LL[[#This Row],[Date of Birth]])-1900,""),"")</f>
        <v>#REF!</v>
      </c>
      <c r="BC130" s="2" t="str">
        <f>IF(LL[[#This Row],[Sx Onset Date]]&gt;0,LL[[#This Row],[Sx Onset Date]],"")</f>
        <v/>
      </c>
      <c r="BD130" s="2" t="str">
        <f>IF(LL[[#This Row],[Lab-confirmed?]]="Y",LL[[#This Row],[Test Date]],"")</f>
        <v/>
      </c>
      <c r="BE130" s="2" t="str">
        <f>IF(LL[[#This Row],[Lab-confirmed?]]="Y",LL[[#This Row],[Test Date 2]],"")</f>
        <v/>
      </c>
      <c r="BF130" s="139" t="str">
        <f>IF(LL[[#This Row],[Date Reported to Public Health]]&gt;0,LL[[#This Row],[Date Reported to Public Health]],"")</f>
        <v/>
      </c>
      <c r="BG130" s="13" t="str">
        <f t="shared" si="1"/>
        <v/>
      </c>
    </row>
    <row r="131" spans="1:59" x14ac:dyDescent="0.3">
      <c r="A131" s="11">
        <v>127</v>
      </c>
      <c r="B131" s="12"/>
      <c r="C131" s="13"/>
      <c r="D131" s="12"/>
      <c r="E131" s="12"/>
      <c r="F131" s="12"/>
      <c r="G131" s="16"/>
      <c r="H131" s="12"/>
      <c r="I131" s="14"/>
      <c r="J131" s="137"/>
      <c r="K131" s="137"/>
      <c r="L131" s="18"/>
      <c r="M131" s="139"/>
      <c r="N131" s="140"/>
      <c r="O131" s="137"/>
      <c r="P131" s="137"/>
      <c r="Q131" s="15"/>
      <c r="R131" s="12"/>
      <c r="S131" s="12"/>
      <c r="T131" s="12"/>
      <c r="U131" s="14"/>
      <c r="V131" s="15"/>
      <c r="W131" s="12"/>
      <c r="X131" s="12"/>
      <c r="Y131" s="12"/>
      <c r="Z131" s="12"/>
      <c r="AA131" s="12"/>
      <c r="AB131" s="14"/>
      <c r="AC131" s="15"/>
      <c r="AD131" s="12"/>
      <c r="AE131" s="12"/>
      <c r="AF131" s="14"/>
      <c r="AG131" s="18"/>
      <c r="AH131" s="18"/>
      <c r="AI131" s="17"/>
      <c r="AJ131" s="181"/>
      <c r="AK131" s="13"/>
      <c r="AL131" s="181"/>
      <c r="AM131" s="175"/>
      <c r="AN131" s="192"/>
      <c r="AO131" s="13"/>
      <c r="AP131" s="181"/>
      <c r="AQ131" s="175"/>
      <c r="AR131" s="18"/>
      <c r="AS131" s="12"/>
      <c r="AT131" s="12"/>
      <c r="AU131" s="12"/>
      <c r="AV131" s="12"/>
      <c r="AW131" s="137"/>
      <c r="AX131" s="13"/>
      <c r="AY131" s="138"/>
      <c r="AZ131" s="140"/>
      <c r="BA131" s="18"/>
      <c r="BB131" s="18" t="e">
        <f>IF(#REF!&lt;&gt;0,IF(LL[[#This Row],[Date of Birth]]&lt;&gt;0,YEAR(#REF!-LL[[#This Row],[Date of Birth]])-1900,""),"")</f>
        <v>#REF!</v>
      </c>
      <c r="BC131" s="2" t="str">
        <f>IF(LL[[#This Row],[Sx Onset Date]]&gt;0,LL[[#This Row],[Sx Onset Date]],"")</f>
        <v/>
      </c>
      <c r="BD131" s="2" t="str">
        <f>IF(LL[[#This Row],[Lab-confirmed?]]="Y",LL[[#This Row],[Test Date]],"")</f>
        <v/>
      </c>
      <c r="BE131" s="2" t="str">
        <f>IF(LL[[#This Row],[Lab-confirmed?]]="Y",LL[[#This Row],[Test Date 2]],"")</f>
        <v/>
      </c>
      <c r="BF131" s="139" t="str">
        <f>IF(LL[[#This Row],[Date Reported to Public Health]]&gt;0,LL[[#This Row],[Date Reported to Public Health]],"")</f>
        <v/>
      </c>
      <c r="BG131" s="13" t="str">
        <f t="shared" si="1"/>
        <v/>
      </c>
    </row>
    <row r="132" spans="1:59" x14ac:dyDescent="0.3">
      <c r="A132" s="11">
        <v>128</v>
      </c>
      <c r="B132" s="12"/>
      <c r="C132" s="13"/>
      <c r="D132" s="12"/>
      <c r="E132" s="12"/>
      <c r="F132" s="12"/>
      <c r="G132" s="16"/>
      <c r="H132" s="12"/>
      <c r="I132" s="14"/>
      <c r="J132" s="137"/>
      <c r="K132" s="137"/>
      <c r="L132" s="18"/>
      <c r="M132" s="139"/>
      <c r="N132" s="140"/>
      <c r="O132" s="137"/>
      <c r="P132" s="137"/>
      <c r="Q132" s="15"/>
      <c r="R132" s="12"/>
      <c r="S132" s="12"/>
      <c r="T132" s="12"/>
      <c r="U132" s="14"/>
      <c r="V132" s="15"/>
      <c r="W132" s="12"/>
      <c r="X132" s="12"/>
      <c r="Y132" s="12"/>
      <c r="Z132" s="12"/>
      <c r="AA132" s="12"/>
      <c r="AB132" s="14"/>
      <c r="AC132" s="15"/>
      <c r="AD132" s="12"/>
      <c r="AE132" s="12"/>
      <c r="AF132" s="14"/>
      <c r="AG132" s="18"/>
      <c r="AH132" s="18"/>
      <c r="AI132" s="17"/>
      <c r="AJ132" s="181"/>
      <c r="AK132" s="13"/>
      <c r="AL132" s="181"/>
      <c r="AM132" s="175"/>
      <c r="AN132" s="192"/>
      <c r="AO132" s="13"/>
      <c r="AP132" s="181"/>
      <c r="AQ132" s="175"/>
      <c r="AR132" s="18"/>
      <c r="AS132" s="12"/>
      <c r="AT132" s="12"/>
      <c r="AU132" s="12"/>
      <c r="AV132" s="12"/>
      <c r="AW132" s="137"/>
      <c r="AX132" s="13"/>
      <c r="AY132" s="138"/>
      <c r="AZ132" s="140"/>
      <c r="BA132" s="18"/>
      <c r="BB132" s="18" t="e">
        <f>IF(#REF!&lt;&gt;0,IF(LL[[#This Row],[Date of Birth]]&lt;&gt;0,YEAR(#REF!-LL[[#This Row],[Date of Birth]])-1900,""),"")</f>
        <v>#REF!</v>
      </c>
      <c r="BC132" s="2" t="str">
        <f>IF(LL[[#This Row],[Sx Onset Date]]&gt;0,LL[[#This Row],[Sx Onset Date]],"")</f>
        <v/>
      </c>
      <c r="BD132" s="2" t="str">
        <f>IF(LL[[#This Row],[Lab-confirmed?]]="Y",LL[[#This Row],[Test Date]],"")</f>
        <v/>
      </c>
      <c r="BE132" s="2" t="str">
        <f>IF(LL[[#This Row],[Lab-confirmed?]]="Y",LL[[#This Row],[Test Date 2]],"")</f>
        <v/>
      </c>
      <c r="BF132" s="139" t="str">
        <f>IF(LL[[#This Row],[Date Reported to Public Health]]&gt;0,LL[[#This Row],[Date Reported to Public Health]],"")</f>
        <v/>
      </c>
      <c r="BG132" s="13" t="str">
        <f t="shared" si="1"/>
        <v/>
      </c>
    </row>
    <row r="133" spans="1:59" x14ac:dyDescent="0.3">
      <c r="A133" s="11">
        <v>129</v>
      </c>
      <c r="B133" s="12"/>
      <c r="C133" s="13"/>
      <c r="D133" s="12"/>
      <c r="E133" s="12"/>
      <c r="F133" s="12"/>
      <c r="G133" s="16"/>
      <c r="H133" s="12"/>
      <c r="I133" s="14"/>
      <c r="J133" s="137"/>
      <c r="K133" s="137"/>
      <c r="L133" s="18"/>
      <c r="M133" s="139"/>
      <c r="N133" s="140"/>
      <c r="O133" s="137"/>
      <c r="P133" s="137"/>
      <c r="Q133" s="15"/>
      <c r="R133" s="12"/>
      <c r="S133" s="12"/>
      <c r="T133" s="12"/>
      <c r="U133" s="14"/>
      <c r="V133" s="15"/>
      <c r="W133" s="12"/>
      <c r="X133" s="12"/>
      <c r="Y133" s="12"/>
      <c r="Z133" s="12"/>
      <c r="AA133" s="12"/>
      <c r="AB133" s="14"/>
      <c r="AC133" s="15"/>
      <c r="AD133" s="12"/>
      <c r="AE133" s="12"/>
      <c r="AF133" s="14"/>
      <c r="AG133" s="18"/>
      <c r="AH133" s="18"/>
      <c r="AI133" s="17"/>
      <c r="AJ133" s="181"/>
      <c r="AK133" s="13"/>
      <c r="AL133" s="181"/>
      <c r="AM133" s="175"/>
      <c r="AN133" s="192"/>
      <c r="AO133" s="13"/>
      <c r="AP133" s="181"/>
      <c r="AQ133" s="175"/>
      <c r="AR133" s="18"/>
      <c r="AS133" s="12"/>
      <c r="AT133" s="12"/>
      <c r="AU133" s="12"/>
      <c r="AV133" s="12"/>
      <c r="AW133" s="137"/>
      <c r="AX133" s="13"/>
      <c r="AY133" s="138"/>
      <c r="AZ133" s="140"/>
      <c r="BA133" s="18"/>
      <c r="BB133" s="18" t="e">
        <f>IF(#REF!&lt;&gt;0,IF(LL[[#This Row],[Date of Birth]]&lt;&gt;0,YEAR(#REF!-LL[[#This Row],[Date of Birth]])-1900,""),"")</f>
        <v>#REF!</v>
      </c>
      <c r="BC133" s="2" t="str">
        <f>IF(LL[[#This Row],[Sx Onset Date]]&gt;0,LL[[#This Row],[Sx Onset Date]],"")</f>
        <v/>
      </c>
      <c r="BD133" s="2" t="str">
        <f>IF(LL[[#This Row],[Lab-confirmed?]]="Y",LL[[#This Row],[Test Date]],"")</f>
        <v/>
      </c>
      <c r="BE133" s="2" t="str">
        <f>IF(LL[[#This Row],[Lab-confirmed?]]="Y",LL[[#This Row],[Test Date 2]],"")</f>
        <v/>
      </c>
      <c r="BF133" s="139" t="str">
        <f>IF(LL[[#This Row],[Date Reported to Public Health]]&gt;0,LL[[#This Row],[Date Reported to Public Health]],"")</f>
        <v/>
      </c>
      <c r="BG133" s="13" t="str">
        <f t="shared" ref="BG133:BG196" si="2">IF(_xlfn.MINIFS(BC133:BF133,BC133:BF133,"&gt;"&amp;0)&gt;0,_xlfn.MINIFS(BC133:BF133,BC133:BF133,"&gt;"&amp;0),"")</f>
        <v/>
      </c>
    </row>
    <row r="134" spans="1:59" x14ac:dyDescent="0.3">
      <c r="A134" s="11">
        <v>130</v>
      </c>
      <c r="B134" s="12"/>
      <c r="C134" s="13"/>
      <c r="D134" s="12"/>
      <c r="E134" s="12"/>
      <c r="F134" s="12"/>
      <c r="G134" s="16"/>
      <c r="H134" s="12"/>
      <c r="I134" s="14"/>
      <c r="J134" s="137"/>
      <c r="K134" s="137"/>
      <c r="L134" s="18"/>
      <c r="M134" s="139"/>
      <c r="N134" s="140"/>
      <c r="O134" s="137"/>
      <c r="P134" s="137"/>
      <c r="Q134" s="15"/>
      <c r="R134" s="12"/>
      <c r="S134" s="12"/>
      <c r="T134" s="12"/>
      <c r="U134" s="14"/>
      <c r="V134" s="15"/>
      <c r="W134" s="12"/>
      <c r="X134" s="12"/>
      <c r="Y134" s="12"/>
      <c r="Z134" s="12"/>
      <c r="AA134" s="12"/>
      <c r="AB134" s="14"/>
      <c r="AC134" s="15"/>
      <c r="AD134" s="12"/>
      <c r="AE134" s="12"/>
      <c r="AF134" s="14"/>
      <c r="AG134" s="18"/>
      <c r="AH134" s="18"/>
      <c r="AI134" s="17"/>
      <c r="AJ134" s="181"/>
      <c r="AK134" s="13"/>
      <c r="AL134" s="181"/>
      <c r="AM134" s="175"/>
      <c r="AN134" s="192"/>
      <c r="AO134" s="13"/>
      <c r="AP134" s="181"/>
      <c r="AQ134" s="175"/>
      <c r="AR134" s="18"/>
      <c r="AS134" s="12"/>
      <c r="AT134" s="12"/>
      <c r="AU134" s="12"/>
      <c r="AV134" s="12"/>
      <c r="AW134" s="137"/>
      <c r="AX134" s="13"/>
      <c r="AY134" s="138"/>
      <c r="AZ134" s="140"/>
      <c r="BA134" s="18"/>
      <c r="BB134" s="18" t="e">
        <f>IF(#REF!&lt;&gt;0,IF(LL[[#This Row],[Date of Birth]]&lt;&gt;0,YEAR(#REF!-LL[[#This Row],[Date of Birth]])-1900,""),"")</f>
        <v>#REF!</v>
      </c>
      <c r="BC134" s="2" t="str">
        <f>IF(LL[[#This Row],[Sx Onset Date]]&gt;0,LL[[#This Row],[Sx Onset Date]],"")</f>
        <v/>
      </c>
      <c r="BD134" s="2" t="str">
        <f>IF(LL[[#This Row],[Lab-confirmed?]]="Y",LL[[#This Row],[Test Date]],"")</f>
        <v/>
      </c>
      <c r="BE134" s="2" t="str">
        <f>IF(LL[[#This Row],[Lab-confirmed?]]="Y",LL[[#This Row],[Test Date 2]],"")</f>
        <v/>
      </c>
      <c r="BF134" s="139" t="str">
        <f>IF(LL[[#This Row],[Date Reported to Public Health]]&gt;0,LL[[#This Row],[Date Reported to Public Health]],"")</f>
        <v/>
      </c>
      <c r="BG134" s="13" t="str">
        <f t="shared" si="2"/>
        <v/>
      </c>
    </row>
    <row r="135" spans="1:59" x14ac:dyDescent="0.3">
      <c r="A135" s="11">
        <v>131</v>
      </c>
      <c r="B135" s="12"/>
      <c r="C135" s="13"/>
      <c r="D135" s="12"/>
      <c r="E135" s="12"/>
      <c r="F135" s="12"/>
      <c r="G135" s="16"/>
      <c r="H135" s="12"/>
      <c r="I135" s="14"/>
      <c r="J135" s="137"/>
      <c r="K135" s="137"/>
      <c r="L135" s="18"/>
      <c r="M135" s="139"/>
      <c r="N135" s="140"/>
      <c r="O135" s="137"/>
      <c r="P135" s="137"/>
      <c r="Q135" s="15"/>
      <c r="R135" s="12"/>
      <c r="S135" s="12"/>
      <c r="T135" s="12"/>
      <c r="U135" s="14"/>
      <c r="V135" s="15"/>
      <c r="W135" s="12"/>
      <c r="X135" s="12"/>
      <c r="Y135" s="12"/>
      <c r="Z135" s="12"/>
      <c r="AA135" s="12"/>
      <c r="AB135" s="14"/>
      <c r="AC135" s="15"/>
      <c r="AD135" s="12"/>
      <c r="AE135" s="12"/>
      <c r="AF135" s="14"/>
      <c r="AG135" s="18"/>
      <c r="AH135" s="18"/>
      <c r="AI135" s="17"/>
      <c r="AJ135" s="181"/>
      <c r="AK135" s="13"/>
      <c r="AL135" s="181"/>
      <c r="AM135" s="175"/>
      <c r="AN135" s="192"/>
      <c r="AO135" s="13"/>
      <c r="AP135" s="181"/>
      <c r="AQ135" s="175"/>
      <c r="AR135" s="18"/>
      <c r="AS135" s="12"/>
      <c r="AT135" s="12"/>
      <c r="AU135" s="12"/>
      <c r="AV135" s="12"/>
      <c r="AW135" s="137"/>
      <c r="AX135" s="13"/>
      <c r="AY135" s="138"/>
      <c r="AZ135" s="140"/>
      <c r="BA135" s="18"/>
      <c r="BB135" s="18" t="e">
        <f>IF(#REF!&lt;&gt;0,IF(LL[[#This Row],[Date of Birth]]&lt;&gt;0,YEAR(#REF!-LL[[#This Row],[Date of Birth]])-1900,""),"")</f>
        <v>#REF!</v>
      </c>
      <c r="BC135" s="2" t="str">
        <f>IF(LL[[#This Row],[Sx Onset Date]]&gt;0,LL[[#This Row],[Sx Onset Date]],"")</f>
        <v/>
      </c>
      <c r="BD135" s="2" t="str">
        <f>IF(LL[[#This Row],[Lab-confirmed?]]="Y",LL[[#This Row],[Test Date]],"")</f>
        <v/>
      </c>
      <c r="BE135" s="2" t="str">
        <f>IF(LL[[#This Row],[Lab-confirmed?]]="Y",LL[[#This Row],[Test Date 2]],"")</f>
        <v/>
      </c>
      <c r="BF135" s="139" t="str">
        <f>IF(LL[[#This Row],[Date Reported to Public Health]]&gt;0,LL[[#This Row],[Date Reported to Public Health]],"")</f>
        <v/>
      </c>
      <c r="BG135" s="13" t="str">
        <f t="shared" si="2"/>
        <v/>
      </c>
    </row>
    <row r="136" spans="1:59" x14ac:dyDescent="0.3">
      <c r="A136" s="11">
        <v>132</v>
      </c>
      <c r="B136" s="12"/>
      <c r="C136" s="13"/>
      <c r="D136" s="12"/>
      <c r="E136" s="12"/>
      <c r="F136" s="12"/>
      <c r="G136" s="16"/>
      <c r="H136" s="12"/>
      <c r="I136" s="14"/>
      <c r="J136" s="137"/>
      <c r="K136" s="137"/>
      <c r="L136" s="18"/>
      <c r="M136" s="139"/>
      <c r="N136" s="140"/>
      <c r="O136" s="137"/>
      <c r="P136" s="137"/>
      <c r="Q136" s="15"/>
      <c r="R136" s="12"/>
      <c r="S136" s="12"/>
      <c r="T136" s="12"/>
      <c r="U136" s="14"/>
      <c r="V136" s="15"/>
      <c r="W136" s="12"/>
      <c r="X136" s="12"/>
      <c r="Y136" s="12"/>
      <c r="Z136" s="12"/>
      <c r="AA136" s="12"/>
      <c r="AB136" s="14"/>
      <c r="AC136" s="15"/>
      <c r="AD136" s="12"/>
      <c r="AE136" s="12"/>
      <c r="AF136" s="14"/>
      <c r="AG136" s="18"/>
      <c r="AH136" s="18"/>
      <c r="AI136" s="17"/>
      <c r="AJ136" s="181"/>
      <c r="AK136" s="13"/>
      <c r="AL136" s="181"/>
      <c r="AM136" s="175"/>
      <c r="AN136" s="192"/>
      <c r="AO136" s="13"/>
      <c r="AP136" s="181"/>
      <c r="AQ136" s="175"/>
      <c r="AR136" s="18"/>
      <c r="AS136" s="12"/>
      <c r="AT136" s="12"/>
      <c r="AU136" s="12"/>
      <c r="AV136" s="12"/>
      <c r="AW136" s="137"/>
      <c r="AX136" s="13"/>
      <c r="AY136" s="138"/>
      <c r="AZ136" s="140"/>
      <c r="BA136" s="18"/>
      <c r="BB136" s="18" t="e">
        <f>IF(#REF!&lt;&gt;0,IF(LL[[#This Row],[Date of Birth]]&lt;&gt;0,YEAR(#REF!-LL[[#This Row],[Date of Birth]])-1900,""),"")</f>
        <v>#REF!</v>
      </c>
      <c r="BC136" s="2" t="str">
        <f>IF(LL[[#This Row],[Sx Onset Date]]&gt;0,LL[[#This Row],[Sx Onset Date]],"")</f>
        <v/>
      </c>
      <c r="BD136" s="2" t="str">
        <f>IF(LL[[#This Row],[Lab-confirmed?]]="Y",LL[[#This Row],[Test Date]],"")</f>
        <v/>
      </c>
      <c r="BE136" s="2" t="str">
        <f>IF(LL[[#This Row],[Lab-confirmed?]]="Y",LL[[#This Row],[Test Date 2]],"")</f>
        <v/>
      </c>
      <c r="BF136" s="139" t="str">
        <f>IF(LL[[#This Row],[Date Reported to Public Health]]&gt;0,LL[[#This Row],[Date Reported to Public Health]],"")</f>
        <v/>
      </c>
      <c r="BG136" s="13" t="str">
        <f t="shared" si="2"/>
        <v/>
      </c>
    </row>
    <row r="137" spans="1:59" x14ac:dyDescent="0.3">
      <c r="A137" s="11">
        <v>133</v>
      </c>
      <c r="B137" s="12"/>
      <c r="C137" s="13"/>
      <c r="D137" s="12"/>
      <c r="E137" s="12"/>
      <c r="F137" s="12"/>
      <c r="G137" s="16"/>
      <c r="H137" s="12"/>
      <c r="I137" s="14"/>
      <c r="J137" s="137"/>
      <c r="K137" s="137"/>
      <c r="L137" s="18"/>
      <c r="M137" s="139"/>
      <c r="N137" s="140"/>
      <c r="O137" s="137"/>
      <c r="P137" s="137"/>
      <c r="Q137" s="15"/>
      <c r="R137" s="12"/>
      <c r="S137" s="12"/>
      <c r="T137" s="12"/>
      <c r="U137" s="14"/>
      <c r="V137" s="15"/>
      <c r="W137" s="12"/>
      <c r="X137" s="12"/>
      <c r="Y137" s="12"/>
      <c r="Z137" s="12"/>
      <c r="AA137" s="12"/>
      <c r="AB137" s="14"/>
      <c r="AC137" s="15"/>
      <c r="AD137" s="12"/>
      <c r="AE137" s="12"/>
      <c r="AF137" s="14"/>
      <c r="AG137" s="18"/>
      <c r="AH137" s="18"/>
      <c r="AI137" s="17"/>
      <c r="AJ137" s="181"/>
      <c r="AK137" s="13"/>
      <c r="AL137" s="181"/>
      <c r="AM137" s="175"/>
      <c r="AN137" s="192"/>
      <c r="AO137" s="13"/>
      <c r="AP137" s="181"/>
      <c r="AQ137" s="175"/>
      <c r="AR137" s="18"/>
      <c r="AS137" s="12"/>
      <c r="AT137" s="12"/>
      <c r="AU137" s="12"/>
      <c r="AV137" s="12"/>
      <c r="AW137" s="137"/>
      <c r="AX137" s="13"/>
      <c r="AY137" s="138"/>
      <c r="AZ137" s="140"/>
      <c r="BA137" s="18"/>
      <c r="BB137" s="18" t="e">
        <f>IF(#REF!&lt;&gt;0,IF(LL[[#This Row],[Date of Birth]]&lt;&gt;0,YEAR(#REF!-LL[[#This Row],[Date of Birth]])-1900,""),"")</f>
        <v>#REF!</v>
      </c>
      <c r="BC137" s="2" t="str">
        <f>IF(LL[[#This Row],[Sx Onset Date]]&gt;0,LL[[#This Row],[Sx Onset Date]],"")</f>
        <v/>
      </c>
      <c r="BD137" s="2" t="str">
        <f>IF(LL[[#This Row],[Lab-confirmed?]]="Y",LL[[#This Row],[Test Date]],"")</f>
        <v/>
      </c>
      <c r="BE137" s="2" t="str">
        <f>IF(LL[[#This Row],[Lab-confirmed?]]="Y",LL[[#This Row],[Test Date 2]],"")</f>
        <v/>
      </c>
      <c r="BF137" s="139" t="str">
        <f>IF(LL[[#This Row],[Date Reported to Public Health]]&gt;0,LL[[#This Row],[Date Reported to Public Health]],"")</f>
        <v/>
      </c>
      <c r="BG137" s="13" t="str">
        <f t="shared" si="2"/>
        <v/>
      </c>
    </row>
    <row r="138" spans="1:59" x14ac:dyDescent="0.3">
      <c r="A138" s="11">
        <v>134</v>
      </c>
      <c r="B138" s="12"/>
      <c r="C138" s="13"/>
      <c r="D138" s="12"/>
      <c r="E138" s="12"/>
      <c r="F138" s="12"/>
      <c r="G138" s="16"/>
      <c r="H138" s="12"/>
      <c r="I138" s="14"/>
      <c r="J138" s="137"/>
      <c r="K138" s="137"/>
      <c r="L138" s="18"/>
      <c r="M138" s="139"/>
      <c r="N138" s="140"/>
      <c r="O138" s="137"/>
      <c r="P138" s="137"/>
      <c r="Q138" s="15"/>
      <c r="R138" s="12"/>
      <c r="S138" s="12"/>
      <c r="T138" s="12"/>
      <c r="U138" s="14"/>
      <c r="V138" s="15"/>
      <c r="W138" s="12"/>
      <c r="X138" s="12"/>
      <c r="Y138" s="12"/>
      <c r="Z138" s="12"/>
      <c r="AA138" s="12"/>
      <c r="AB138" s="14"/>
      <c r="AC138" s="15"/>
      <c r="AD138" s="12"/>
      <c r="AE138" s="12"/>
      <c r="AF138" s="14"/>
      <c r="AG138" s="18"/>
      <c r="AH138" s="18"/>
      <c r="AI138" s="17"/>
      <c r="AJ138" s="181"/>
      <c r="AK138" s="13"/>
      <c r="AL138" s="181"/>
      <c r="AM138" s="175"/>
      <c r="AN138" s="192"/>
      <c r="AO138" s="13"/>
      <c r="AP138" s="181"/>
      <c r="AQ138" s="175"/>
      <c r="AR138" s="18"/>
      <c r="AS138" s="12"/>
      <c r="AT138" s="12"/>
      <c r="AU138" s="12"/>
      <c r="AV138" s="12"/>
      <c r="AW138" s="137"/>
      <c r="AX138" s="13"/>
      <c r="AY138" s="138"/>
      <c r="AZ138" s="140"/>
      <c r="BA138" s="18"/>
      <c r="BB138" s="18" t="e">
        <f>IF(#REF!&lt;&gt;0,IF(LL[[#This Row],[Date of Birth]]&lt;&gt;0,YEAR(#REF!-LL[[#This Row],[Date of Birth]])-1900,""),"")</f>
        <v>#REF!</v>
      </c>
      <c r="BC138" s="2" t="str">
        <f>IF(LL[[#This Row],[Sx Onset Date]]&gt;0,LL[[#This Row],[Sx Onset Date]],"")</f>
        <v/>
      </c>
      <c r="BD138" s="2" t="str">
        <f>IF(LL[[#This Row],[Lab-confirmed?]]="Y",LL[[#This Row],[Test Date]],"")</f>
        <v/>
      </c>
      <c r="BE138" s="2" t="str">
        <f>IF(LL[[#This Row],[Lab-confirmed?]]="Y",LL[[#This Row],[Test Date 2]],"")</f>
        <v/>
      </c>
      <c r="BF138" s="139" t="str">
        <f>IF(LL[[#This Row],[Date Reported to Public Health]]&gt;0,LL[[#This Row],[Date Reported to Public Health]],"")</f>
        <v/>
      </c>
      <c r="BG138" s="13" t="str">
        <f t="shared" si="2"/>
        <v/>
      </c>
    </row>
    <row r="139" spans="1:59" x14ac:dyDescent="0.3">
      <c r="A139" s="11">
        <v>135</v>
      </c>
      <c r="B139" s="12"/>
      <c r="C139" s="13"/>
      <c r="D139" s="12"/>
      <c r="E139" s="12"/>
      <c r="F139" s="12"/>
      <c r="G139" s="16"/>
      <c r="H139" s="12"/>
      <c r="I139" s="14"/>
      <c r="J139" s="137"/>
      <c r="K139" s="137"/>
      <c r="L139" s="18"/>
      <c r="M139" s="139"/>
      <c r="N139" s="140"/>
      <c r="O139" s="137"/>
      <c r="P139" s="137"/>
      <c r="Q139" s="15"/>
      <c r="R139" s="12"/>
      <c r="S139" s="12"/>
      <c r="T139" s="12"/>
      <c r="U139" s="14"/>
      <c r="V139" s="15"/>
      <c r="W139" s="12"/>
      <c r="X139" s="12"/>
      <c r="Y139" s="12"/>
      <c r="Z139" s="12"/>
      <c r="AA139" s="12"/>
      <c r="AB139" s="14"/>
      <c r="AC139" s="15"/>
      <c r="AD139" s="12"/>
      <c r="AE139" s="12"/>
      <c r="AF139" s="14"/>
      <c r="AG139" s="18"/>
      <c r="AH139" s="18"/>
      <c r="AI139" s="17"/>
      <c r="AJ139" s="181"/>
      <c r="AK139" s="13"/>
      <c r="AL139" s="181"/>
      <c r="AM139" s="175"/>
      <c r="AN139" s="192"/>
      <c r="AO139" s="13"/>
      <c r="AP139" s="181"/>
      <c r="AQ139" s="175"/>
      <c r="AR139" s="18"/>
      <c r="AS139" s="12"/>
      <c r="AT139" s="12"/>
      <c r="AU139" s="12"/>
      <c r="AV139" s="12"/>
      <c r="AW139" s="137"/>
      <c r="AX139" s="13"/>
      <c r="AY139" s="138"/>
      <c r="AZ139" s="140"/>
      <c r="BA139" s="18"/>
      <c r="BB139" s="18" t="e">
        <f>IF(#REF!&lt;&gt;0,IF(LL[[#This Row],[Date of Birth]]&lt;&gt;0,YEAR(#REF!-LL[[#This Row],[Date of Birth]])-1900,""),"")</f>
        <v>#REF!</v>
      </c>
      <c r="BC139" s="2" t="str">
        <f>IF(LL[[#This Row],[Sx Onset Date]]&gt;0,LL[[#This Row],[Sx Onset Date]],"")</f>
        <v/>
      </c>
      <c r="BD139" s="2" t="str">
        <f>IF(LL[[#This Row],[Lab-confirmed?]]="Y",LL[[#This Row],[Test Date]],"")</f>
        <v/>
      </c>
      <c r="BE139" s="2" t="str">
        <f>IF(LL[[#This Row],[Lab-confirmed?]]="Y",LL[[#This Row],[Test Date 2]],"")</f>
        <v/>
      </c>
      <c r="BF139" s="139" t="str">
        <f>IF(LL[[#This Row],[Date Reported to Public Health]]&gt;0,LL[[#This Row],[Date Reported to Public Health]],"")</f>
        <v/>
      </c>
      <c r="BG139" s="13" t="str">
        <f t="shared" si="2"/>
        <v/>
      </c>
    </row>
    <row r="140" spans="1:59" x14ac:dyDescent="0.3">
      <c r="A140" s="11">
        <v>136</v>
      </c>
      <c r="B140" s="12"/>
      <c r="C140" s="13"/>
      <c r="D140" s="12"/>
      <c r="E140" s="12"/>
      <c r="F140" s="12"/>
      <c r="G140" s="16"/>
      <c r="H140" s="12"/>
      <c r="I140" s="14"/>
      <c r="J140" s="137"/>
      <c r="K140" s="137"/>
      <c r="L140" s="18"/>
      <c r="M140" s="139"/>
      <c r="N140" s="140"/>
      <c r="O140" s="137"/>
      <c r="P140" s="137"/>
      <c r="Q140" s="15"/>
      <c r="R140" s="12"/>
      <c r="S140" s="12"/>
      <c r="T140" s="12"/>
      <c r="U140" s="14"/>
      <c r="V140" s="15"/>
      <c r="W140" s="12"/>
      <c r="X140" s="12"/>
      <c r="Y140" s="12"/>
      <c r="Z140" s="12"/>
      <c r="AA140" s="12"/>
      <c r="AB140" s="14"/>
      <c r="AC140" s="15"/>
      <c r="AD140" s="12"/>
      <c r="AE140" s="12"/>
      <c r="AF140" s="14"/>
      <c r="AG140" s="18"/>
      <c r="AH140" s="18"/>
      <c r="AI140" s="17"/>
      <c r="AJ140" s="181"/>
      <c r="AK140" s="13"/>
      <c r="AL140" s="181"/>
      <c r="AM140" s="175"/>
      <c r="AN140" s="192"/>
      <c r="AO140" s="13"/>
      <c r="AP140" s="181"/>
      <c r="AQ140" s="175"/>
      <c r="AR140" s="18"/>
      <c r="AS140" s="12"/>
      <c r="AT140" s="12"/>
      <c r="AU140" s="12"/>
      <c r="AV140" s="12"/>
      <c r="AW140" s="137"/>
      <c r="AX140" s="13"/>
      <c r="AY140" s="138"/>
      <c r="AZ140" s="140"/>
      <c r="BA140" s="18"/>
      <c r="BB140" s="18" t="e">
        <f>IF(#REF!&lt;&gt;0,IF(LL[[#This Row],[Date of Birth]]&lt;&gt;0,YEAR(#REF!-LL[[#This Row],[Date of Birth]])-1900,""),"")</f>
        <v>#REF!</v>
      </c>
      <c r="BC140" s="2" t="str">
        <f>IF(LL[[#This Row],[Sx Onset Date]]&gt;0,LL[[#This Row],[Sx Onset Date]],"")</f>
        <v/>
      </c>
      <c r="BD140" s="2" t="str">
        <f>IF(LL[[#This Row],[Lab-confirmed?]]="Y",LL[[#This Row],[Test Date]],"")</f>
        <v/>
      </c>
      <c r="BE140" s="2" t="str">
        <f>IF(LL[[#This Row],[Lab-confirmed?]]="Y",LL[[#This Row],[Test Date 2]],"")</f>
        <v/>
      </c>
      <c r="BF140" s="139" t="str">
        <f>IF(LL[[#This Row],[Date Reported to Public Health]]&gt;0,LL[[#This Row],[Date Reported to Public Health]],"")</f>
        <v/>
      </c>
      <c r="BG140" s="13" t="str">
        <f t="shared" si="2"/>
        <v/>
      </c>
    </row>
    <row r="141" spans="1:59" x14ac:dyDescent="0.3">
      <c r="A141" s="11">
        <v>137</v>
      </c>
      <c r="B141" s="12"/>
      <c r="C141" s="13"/>
      <c r="D141" s="12"/>
      <c r="E141" s="12"/>
      <c r="F141" s="12"/>
      <c r="G141" s="16"/>
      <c r="H141" s="12"/>
      <c r="I141" s="14"/>
      <c r="J141" s="137"/>
      <c r="K141" s="137"/>
      <c r="L141" s="18"/>
      <c r="M141" s="139"/>
      <c r="N141" s="140"/>
      <c r="O141" s="137"/>
      <c r="P141" s="137"/>
      <c r="Q141" s="15"/>
      <c r="R141" s="12"/>
      <c r="S141" s="12"/>
      <c r="T141" s="12"/>
      <c r="U141" s="14"/>
      <c r="V141" s="15"/>
      <c r="W141" s="12"/>
      <c r="X141" s="12"/>
      <c r="Y141" s="12"/>
      <c r="Z141" s="12"/>
      <c r="AA141" s="12"/>
      <c r="AB141" s="14"/>
      <c r="AC141" s="15"/>
      <c r="AD141" s="12"/>
      <c r="AE141" s="12"/>
      <c r="AF141" s="14"/>
      <c r="AG141" s="18"/>
      <c r="AH141" s="18"/>
      <c r="AI141" s="17"/>
      <c r="AJ141" s="181"/>
      <c r="AK141" s="13"/>
      <c r="AL141" s="181"/>
      <c r="AM141" s="175"/>
      <c r="AN141" s="192"/>
      <c r="AO141" s="13"/>
      <c r="AP141" s="181"/>
      <c r="AQ141" s="175"/>
      <c r="AR141" s="18"/>
      <c r="AS141" s="12"/>
      <c r="AT141" s="12"/>
      <c r="AU141" s="12"/>
      <c r="AV141" s="12"/>
      <c r="AW141" s="137"/>
      <c r="AX141" s="13"/>
      <c r="AY141" s="138"/>
      <c r="AZ141" s="140"/>
      <c r="BA141" s="18"/>
      <c r="BB141" s="18" t="e">
        <f>IF(#REF!&lt;&gt;0,IF(LL[[#This Row],[Date of Birth]]&lt;&gt;0,YEAR(#REF!-LL[[#This Row],[Date of Birth]])-1900,""),"")</f>
        <v>#REF!</v>
      </c>
      <c r="BC141" s="2" t="str">
        <f>IF(LL[[#This Row],[Sx Onset Date]]&gt;0,LL[[#This Row],[Sx Onset Date]],"")</f>
        <v/>
      </c>
      <c r="BD141" s="2" t="str">
        <f>IF(LL[[#This Row],[Lab-confirmed?]]="Y",LL[[#This Row],[Test Date]],"")</f>
        <v/>
      </c>
      <c r="BE141" s="2" t="str">
        <f>IF(LL[[#This Row],[Lab-confirmed?]]="Y",LL[[#This Row],[Test Date 2]],"")</f>
        <v/>
      </c>
      <c r="BF141" s="139" t="str">
        <f>IF(LL[[#This Row],[Date Reported to Public Health]]&gt;0,LL[[#This Row],[Date Reported to Public Health]],"")</f>
        <v/>
      </c>
      <c r="BG141" s="13" t="str">
        <f t="shared" si="2"/>
        <v/>
      </c>
    </row>
    <row r="142" spans="1:59" x14ac:dyDescent="0.3">
      <c r="A142" s="11">
        <v>138</v>
      </c>
      <c r="B142" s="12"/>
      <c r="C142" s="13"/>
      <c r="D142" s="12"/>
      <c r="E142" s="12"/>
      <c r="F142" s="12"/>
      <c r="G142" s="16"/>
      <c r="H142" s="12"/>
      <c r="I142" s="14"/>
      <c r="J142" s="137"/>
      <c r="K142" s="137"/>
      <c r="L142" s="18"/>
      <c r="M142" s="139"/>
      <c r="N142" s="140"/>
      <c r="O142" s="137"/>
      <c r="P142" s="137"/>
      <c r="Q142" s="15"/>
      <c r="R142" s="12"/>
      <c r="S142" s="12"/>
      <c r="T142" s="12"/>
      <c r="U142" s="14"/>
      <c r="V142" s="15"/>
      <c r="W142" s="12"/>
      <c r="X142" s="12"/>
      <c r="Y142" s="12"/>
      <c r="Z142" s="12"/>
      <c r="AA142" s="12"/>
      <c r="AB142" s="14"/>
      <c r="AC142" s="15"/>
      <c r="AD142" s="12"/>
      <c r="AE142" s="12"/>
      <c r="AF142" s="14"/>
      <c r="AG142" s="18"/>
      <c r="AH142" s="18"/>
      <c r="AI142" s="17"/>
      <c r="AJ142" s="181"/>
      <c r="AK142" s="13"/>
      <c r="AL142" s="181"/>
      <c r="AM142" s="175"/>
      <c r="AN142" s="192"/>
      <c r="AO142" s="13"/>
      <c r="AP142" s="181"/>
      <c r="AQ142" s="175"/>
      <c r="AR142" s="18"/>
      <c r="AS142" s="12"/>
      <c r="AT142" s="12"/>
      <c r="AU142" s="12"/>
      <c r="AV142" s="12"/>
      <c r="AW142" s="137"/>
      <c r="AX142" s="13"/>
      <c r="AY142" s="138"/>
      <c r="AZ142" s="140"/>
      <c r="BA142" s="18"/>
      <c r="BB142" s="18" t="e">
        <f>IF(#REF!&lt;&gt;0,IF(LL[[#This Row],[Date of Birth]]&lt;&gt;0,YEAR(#REF!-LL[[#This Row],[Date of Birth]])-1900,""),"")</f>
        <v>#REF!</v>
      </c>
      <c r="BC142" s="2" t="str">
        <f>IF(LL[[#This Row],[Sx Onset Date]]&gt;0,LL[[#This Row],[Sx Onset Date]],"")</f>
        <v/>
      </c>
      <c r="BD142" s="2" t="str">
        <f>IF(LL[[#This Row],[Lab-confirmed?]]="Y",LL[[#This Row],[Test Date]],"")</f>
        <v/>
      </c>
      <c r="BE142" s="2" t="str">
        <f>IF(LL[[#This Row],[Lab-confirmed?]]="Y",LL[[#This Row],[Test Date 2]],"")</f>
        <v/>
      </c>
      <c r="BF142" s="139" t="str">
        <f>IF(LL[[#This Row],[Date Reported to Public Health]]&gt;0,LL[[#This Row],[Date Reported to Public Health]],"")</f>
        <v/>
      </c>
      <c r="BG142" s="13" t="str">
        <f t="shared" si="2"/>
        <v/>
      </c>
    </row>
    <row r="143" spans="1:59" x14ac:dyDescent="0.3">
      <c r="A143" s="11">
        <v>139</v>
      </c>
      <c r="B143" s="12"/>
      <c r="C143" s="13"/>
      <c r="D143" s="12"/>
      <c r="E143" s="12"/>
      <c r="F143" s="12"/>
      <c r="G143" s="16"/>
      <c r="H143" s="12"/>
      <c r="I143" s="14"/>
      <c r="J143" s="137"/>
      <c r="K143" s="137"/>
      <c r="L143" s="18"/>
      <c r="M143" s="139"/>
      <c r="N143" s="140"/>
      <c r="O143" s="137"/>
      <c r="P143" s="137"/>
      <c r="Q143" s="15"/>
      <c r="R143" s="12"/>
      <c r="S143" s="12"/>
      <c r="T143" s="12"/>
      <c r="U143" s="14"/>
      <c r="V143" s="15"/>
      <c r="W143" s="12"/>
      <c r="X143" s="12"/>
      <c r="Y143" s="12"/>
      <c r="Z143" s="12"/>
      <c r="AA143" s="12"/>
      <c r="AB143" s="14"/>
      <c r="AC143" s="15"/>
      <c r="AD143" s="12"/>
      <c r="AE143" s="12"/>
      <c r="AF143" s="14"/>
      <c r="AG143" s="18"/>
      <c r="AH143" s="18"/>
      <c r="AI143" s="17"/>
      <c r="AJ143" s="181"/>
      <c r="AK143" s="13"/>
      <c r="AL143" s="181"/>
      <c r="AM143" s="175"/>
      <c r="AN143" s="192"/>
      <c r="AO143" s="13"/>
      <c r="AP143" s="181"/>
      <c r="AQ143" s="175"/>
      <c r="AR143" s="18"/>
      <c r="AS143" s="12"/>
      <c r="AT143" s="12"/>
      <c r="AU143" s="12"/>
      <c r="AV143" s="12"/>
      <c r="AW143" s="137"/>
      <c r="AX143" s="13"/>
      <c r="AY143" s="138"/>
      <c r="AZ143" s="140"/>
      <c r="BA143" s="18"/>
      <c r="BB143" s="18" t="e">
        <f>IF(#REF!&lt;&gt;0,IF(LL[[#This Row],[Date of Birth]]&lt;&gt;0,YEAR(#REF!-LL[[#This Row],[Date of Birth]])-1900,""),"")</f>
        <v>#REF!</v>
      </c>
      <c r="BC143" s="2" t="str">
        <f>IF(LL[[#This Row],[Sx Onset Date]]&gt;0,LL[[#This Row],[Sx Onset Date]],"")</f>
        <v/>
      </c>
      <c r="BD143" s="2" t="str">
        <f>IF(LL[[#This Row],[Lab-confirmed?]]="Y",LL[[#This Row],[Test Date]],"")</f>
        <v/>
      </c>
      <c r="BE143" s="2" t="str">
        <f>IF(LL[[#This Row],[Lab-confirmed?]]="Y",LL[[#This Row],[Test Date 2]],"")</f>
        <v/>
      </c>
      <c r="BF143" s="139" t="str">
        <f>IF(LL[[#This Row],[Date Reported to Public Health]]&gt;0,LL[[#This Row],[Date Reported to Public Health]],"")</f>
        <v/>
      </c>
      <c r="BG143" s="13" t="str">
        <f t="shared" si="2"/>
        <v/>
      </c>
    </row>
    <row r="144" spans="1:59" x14ac:dyDescent="0.3">
      <c r="A144" s="11">
        <v>140</v>
      </c>
      <c r="B144" s="12"/>
      <c r="C144" s="13"/>
      <c r="D144" s="12"/>
      <c r="E144" s="12"/>
      <c r="F144" s="12"/>
      <c r="G144" s="16"/>
      <c r="H144" s="12"/>
      <c r="I144" s="14"/>
      <c r="J144" s="137"/>
      <c r="K144" s="137"/>
      <c r="L144" s="18"/>
      <c r="M144" s="139"/>
      <c r="N144" s="140"/>
      <c r="O144" s="137"/>
      <c r="P144" s="137"/>
      <c r="Q144" s="15"/>
      <c r="R144" s="12"/>
      <c r="S144" s="12"/>
      <c r="T144" s="12"/>
      <c r="U144" s="14"/>
      <c r="V144" s="15"/>
      <c r="W144" s="12"/>
      <c r="X144" s="12"/>
      <c r="Y144" s="12"/>
      <c r="Z144" s="12"/>
      <c r="AA144" s="12"/>
      <c r="AB144" s="14"/>
      <c r="AC144" s="15"/>
      <c r="AD144" s="12"/>
      <c r="AE144" s="12"/>
      <c r="AF144" s="14"/>
      <c r="AG144" s="18"/>
      <c r="AH144" s="18"/>
      <c r="AI144" s="17"/>
      <c r="AJ144" s="181"/>
      <c r="AK144" s="13"/>
      <c r="AL144" s="181"/>
      <c r="AM144" s="175"/>
      <c r="AN144" s="192"/>
      <c r="AO144" s="13"/>
      <c r="AP144" s="181"/>
      <c r="AQ144" s="175"/>
      <c r="AR144" s="18"/>
      <c r="AS144" s="12"/>
      <c r="AT144" s="12"/>
      <c r="AU144" s="12"/>
      <c r="AV144" s="12"/>
      <c r="AW144" s="137"/>
      <c r="AX144" s="13"/>
      <c r="AY144" s="138"/>
      <c r="AZ144" s="140"/>
      <c r="BA144" s="18"/>
      <c r="BB144" s="18" t="e">
        <f>IF(#REF!&lt;&gt;0,IF(LL[[#This Row],[Date of Birth]]&lt;&gt;0,YEAR(#REF!-LL[[#This Row],[Date of Birth]])-1900,""),"")</f>
        <v>#REF!</v>
      </c>
      <c r="BC144" s="2" t="str">
        <f>IF(LL[[#This Row],[Sx Onset Date]]&gt;0,LL[[#This Row],[Sx Onset Date]],"")</f>
        <v/>
      </c>
      <c r="BD144" s="2" t="str">
        <f>IF(LL[[#This Row],[Lab-confirmed?]]="Y",LL[[#This Row],[Test Date]],"")</f>
        <v/>
      </c>
      <c r="BE144" s="2" t="str">
        <f>IF(LL[[#This Row],[Lab-confirmed?]]="Y",LL[[#This Row],[Test Date 2]],"")</f>
        <v/>
      </c>
      <c r="BF144" s="139" t="str">
        <f>IF(LL[[#This Row],[Date Reported to Public Health]]&gt;0,LL[[#This Row],[Date Reported to Public Health]],"")</f>
        <v/>
      </c>
      <c r="BG144" s="13" t="str">
        <f t="shared" si="2"/>
        <v/>
      </c>
    </row>
    <row r="145" spans="1:59" x14ac:dyDescent="0.3">
      <c r="A145" s="11">
        <v>141</v>
      </c>
      <c r="B145" s="12"/>
      <c r="C145" s="13"/>
      <c r="D145" s="12"/>
      <c r="E145" s="12"/>
      <c r="F145" s="12"/>
      <c r="G145" s="16"/>
      <c r="H145" s="12"/>
      <c r="I145" s="14"/>
      <c r="J145" s="137"/>
      <c r="K145" s="137"/>
      <c r="L145" s="18"/>
      <c r="M145" s="139"/>
      <c r="N145" s="140"/>
      <c r="O145" s="137"/>
      <c r="P145" s="137"/>
      <c r="Q145" s="15"/>
      <c r="R145" s="12"/>
      <c r="S145" s="12"/>
      <c r="T145" s="12"/>
      <c r="U145" s="14"/>
      <c r="V145" s="15"/>
      <c r="W145" s="12"/>
      <c r="X145" s="12"/>
      <c r="Y145" s="12"/>
      <c r="Z145" s="12"/>
      <c r="AA145" s="12"/>
      <c r="AB145" s="14"/>
      <c r="AC145" s="15"/>
      <c r="AD145" s="12"/>
      <c r="AE145" s="12"/>
      <c r="AF145" s="14"/>
      <c r="AG145" s="18"/>
      <c r="AH145" s="18"/>
      <c r="AI145" s="17"/>
      <c r="AJ145" s="181"/>
      <c r="AK145" s="13"/>
      <c r="AL145" s="181"/>
      <c r="AM145" s="175"/>
      <c r="AN145" s="192"/>
      <c r="AO145" s="13"/>
      <c r="AP145" s="181"/>
      <c r="AQ145" s="175"/>
      <c r="AR145" s="18"/>
      <c r="AS145" s="12"/>
      <c r="AT145" s="12"/>
      <c r="AU145" s="12"/>
      <c r="AV145" s="12"/>
      <c r="AW145" s="137"/>
      <c r="AX145" s="13"/>
      <c r="AY145" s="138"/>
      <c r="AZ145" s="140"/>
      <c r="BA145" s="18"/>
      <c r="BB145" s="18" t="e">
        <f>IF(#REF!&lt;&gt;0,IF(LL[[#This Row],[Date of Birth]]&lt;&gt;0,YEAR(#REF!-LL[[#This Row],[Date of Birth]])-1900,""),"")</f>
        <v>#REF!</v>
      </c>
      <c r="BC145" s="2" t="str">
        <f>IF(LL[[#This Row],[Sx Onset Date]]&gt;0,LL[[#This Row],[Sx Onset Date]],"")</f>
        <v/>
      </c>
      <c r="BD145" s="2" t="str">
        <f>IF(LL[[#This Row],[Lab-confirmed?]]="Y",LL[[#This Row],[Test Date]],"")</f>
        <v/>
      </c>
      <c r="BE145" s="2" t="str">
        <f>IF(LL[[#This Row],[Lab-confirmed?]]="Y",LL[[#This Row],[Test Date 2]],"")</f>
        <v/>
      </c>
      <c r="BF145" s="139" t="str">
        <f>IF(LL[[#This Row],[Date Reported to Public Health]]&gt;0,LL[[#This Row],[Date Reported to Public Health]],"")</f>
        <v/>
      </c>
      <c r="BG145" s="13" t="str">
        <f t="shared" si="2"/>
        <v/>
      </c>
    </row>
    <row r="146" spans="1:59" x14ac:dyDescent="0.3">
      <c r="A146" s="11">
        <v>142</v>
      </c>
      <c r="B146" s="12"/>
      <c r="C146" s="13"/>
      <c r="D146" s="12"/>
      <c r="E146" s="12"/>
      <c r="F146" s="12"/>
      <c r="G146" s="16"/>
      <c r="H146" s="12"/>
      <c r="I146" s="14"/>
      <c r="J146" s="137"/>
      <c r="K146" s="137"/>
      <c r="L146" s="18"/>
      <c r="M146" s="139"/>
      <c r="N146" s="140"/>
      <c r="O146" s="137"/>
      <c r="P146" s="137"/>
      <c r="Q146" s="15"/>
      <c r="R146" s="12"/>
      <c r="S146" s="12"/>
      <c r="T146" s="12"/>
      <c r="U146" s="14"/>
      <c r="V146" s="15"/>
      <c r="W146" s="12"/>
      <c r="X146" s="12"/>
      <c r="Y146" s="12"/>
      <c r="Z146" s="12"/>
      <c r="AA146" s="12"/>
      <c r="AB146" s="14"/>
      <c r="AC146" s="15"/>
      <c r="AD146" s="12"/>
      <c r="AE146" s="12"/>
      <c r="AF146" s="14"/>
      <c r="AG146" s="18"/>
      <c r="AH146" s="18"/>
      <c r="AI146" s="17"/>
      <c r="AJ146" s="181"/>
      <c r="AK146" s="13"/>
      <c r="AL146" s="181"/>
      <c r="AM146" s="175"/>
      <c r="AN146" s="192"/>
      <c r="AO146" s="13"/>
      <c r="AP146" s="181"/>
      <c r="AQ146" s="175"/>
      <c r="AR146" s="18"/>
      <c r="AS146" s="12"/>
      <c r="AT146" s="12"/>
      <c r="AU146" s="12"/>
      <c r="AV146" s="12"/>
      <c r="AW146" s="137"/>
      <c r="AX146" s="13"/>
      <c r="AY146" s="138"/>
      <c r="AZ146" s="140"/>
      <c r="BA146" s="18"/>
      <c r="BB146" s="18" t="e">
        <f>IF(#REF!&lt;&gt;0,IF(LL[[#This Row],[Date of Birth]]&lt;&gt;0,YEAR(#REF!-LL[[#This Row],[Date of Birth]])-1900,""),"")</f>
        <v>#REF!</v>
      </c>
      <c r="BC146" s="2" t="str">
        <f>IF(LL[[#This Row],[Sx Onset Date]]&gt;0,LL[[#This Row],[Sx Onset Date]],"")</f>
        <v/>
      </c>
      <c r="BD146" s="2" t="str">
        <f>IF(LL[[#This Row],[Lab-confirmed?]]="Y",LL[[#This Row],[Test Date]],"")</f>
        <v/>
      </c>
      <c r="BE146" s="2" t="str">
        <f>IF(LL[[#This Row],[Lab-confirmed?]]="Y",LL[[#This Row],[Test Date 2]],"")</f>
        <v/>
      </c>
      <c r="BF146" s="139" t="str">
        <f>IF(LL[[#This Row],[Date Reported to Public Health]]&gt;0,LL[[#This Row],[Date Reported to Public Health]],"")</f>
        <v/>
      </c>
      <c r="BG146" s="13" t="str">
        <f t="shared" si="2"/>
        <v/>
      </c>
    </row>
    <row r="147" spans="1:59" x14ac:dyDescent="0.3">
      <c r="A147" s="11">
        <v>143</v>
      </c>
      <c r="B147" s="12"/>
      <c r="C147" s="13"/>
      <c r="D147" s="12"/>
      <c r="E147" s="12"/>
      <c r="F147" s="12"/>
      <c r="G147" s="16"/>
      <c r="H147" s="12"/>
      <c r="I147" s="14"/>
      <c r="J147" s="137"/>
      <c r="K147" s="137"/>
      <c r="L147" s="18"/>
      <c r="M147" s="139"/>
      <c r="N147" s="140"/>
      <c r="O147" s="137"/>
      <c r="P147" s="137"/>
      <c r="Q147" s="15"/>
      <c r="R147" s="12"/>
      <c r="S147" s="12"/>
      <c r="T147" s="12"/>
      <c r="U147" s="14"/>
      <c r="V147" s="15"/>
      <c r="W147" s="12"/>
      <c r="X147" s="12"/>
      <c r="Y147" s="12"/>
      <c r="Z147" s="12"/>
      <c r="AA147" s="12"/>
      <c r="AB147" s="14"/>
      <c r="AC147" s="15"/>
      <c r="AD147" s="12"/>
      <c r="AE147" s="12"/>
      <c r="AF147" s="14"/>
      <c r="AG147" s="18"/>
      <c r="AH147" s="18"/>
      <c r="AI147" s="17"/>
      <c r="AJ147" s="181"/>
      <c r="AK147" s="13"/>
      <c r="AL147" s="181"/>
      <c r="AM147" s="175"/>
      <c r="AN147" s="192"/>
      <c r="AO147" s="13"/>
      <c r="AP147" s="181"/>
      <c r="AQ147" s="175"/>
      <c r="AR147" s="18"/>
      <c r="AS147" s="12"/>
      <c r="AT147" s="12"/>
      <c r="AU147" s="12"/>
      <c r="AV147" s="12"/>
      <c r="AW147" s="137"/>
      <c r="AX147" s="13"/>
      <c r="AY147" s="138"/>
      <c r="AZ147" s="140"/>
      <c r="BA147" s="18"/>
      <c r="BB147" s="18" t="e">
        <f>IF(#REF!&lt;&gt;0,IF(LL[[#This Row],[Date of Birth]]&lt;&gt;0,YEAR(#REF!-LL[[#This Row],[Date of Birth]])-1900,""),"")</f>
        <v>#REF!</v>
      </c>
      <c r="BC147" s="2" t="str">
        <f>IF(LL[[#This Row],[Sx Onset Date]]&gt;0,LL[[#This Row],[Sx Onset Date]],"")</f>
        <v/>
      </c>
      <c r="BD147" s="2" t="str">
        <f>IF(LL[[#This Row],[Lab-confirmed?]]="Y",LL[[#This Row],[Test Date]],"")</f>
        <v/>
      </c>
      <c r="BE147" s="2" t="str">
        <f>IF(LL[[#This Row],[Lab-confirmed?]]="Y",LL[[#This Row],[Test Date 2]],"")</f>
        <v/>
      </c>
      <c r="BF147" s="139" t="str">
        <f>IF(LL[[#This Row],[Date Reported to Public Health]]&gt;0,LL[[#This Row],[Date Reported to Public Health]],"")</f>
        <v/>
      </c>
      <c r="BG147" s="13" t="str">
        <f t="shared" si="2"/>
        <v/>
      </c>
    </row>
    <row r="148" spans="1:59" x14ac:dyDescent="0.3">
      <c r="A148" s="11">
        <v>144</v>
      </c>
      <c r="B148" s="12"/>
      <c r="C148" s="13"/>
      <c r="D148" s="12"/>
      <c r="E148" s="12"/>
      <c r="F148" s="12"/>
      <c r="G148" s="16"/>
      <c r="H148" s="12"/>
      <c r="I148" s="14"/>
      <c r="J148" s="137"/>
      <c r="K148" s="137"/>
      <c r="L148" s="18"/>
      <c r="M148" s="139"/>
      <c r="N148" s="140"/>
      <c r="O148" s="137"/>
      <c r="P148" s="137"/>
      <c r="Q148" s="15"/>
      <c r="R148" s="12"/>
      <c r="S148" s="12"/>
      <c r="T148" s="12"/>
      <c r="U148" s="14"/>
      <c r="V148" s="15"/>
      <c r="W148" s="12"/>
      <c r="X148" s="12"/>
      <c r="Y148" s="12"/>
      <c r="Z148" s="12"/>
      <c r="AA148" s="12"/>
      <c r="AB148" s="14"/>
      <c r="AC148" s="15"/>
      <c r="AD148" s="12"/>
      <c r="AE148" s="12"/>
      <c r="AF148" s="14"/>
      <c r="AG148" s="18"/>
      <c r="AH148" s="18"/>
      <c r="AI148" s="17"/>
      <c r="AJ148" s="181"/>
      <c r="AK148" s="13"/>
      <c r="AL148" s="181"/>
      <c r="AM148" s="175"/>
      <c r="AN148" s="192"/>
      <c r="AO148" s="13"/>
      <c r="AP148" s="181"/>
      <c r="AQ148" s="175"/>
      <c r="AR148" s="18"/>
      <c r="AS148" s="12"/>
      <c r="AT148" s="12"/>
      <c r="AU148" s="12"/>
      <c r="AV148" s="12"/>
      <c r="AW148" s="137"/>
      <c r="AX148" s="13"/>
      <c r="AY148" s="138"/>
      <c r="AZ148" s="140"/>
      <c r="BA148" s="18"/>
      <c r="BB148" s="18" t="e">
        <f>IF(#REF!&lt;&gt;0,IF(LL[[#This Row],[Date of Birth]]&lt;&gt;0,YEAR(#REF!-LL[[#This Row],[Date of Birth]])-1900,""),"")</f>
        <v>#REF!</v>
      </c>
      <c r="BC148" s="2" t="str">
        <f>IF(LL[[#This Row],[Sx Onset Date]]&gt;0,LL[[#This Row],[Sx Onset Date]],"")</f>
        <v/>
      </c>
      <c r="BD148" s="2" t="str">
        <f>IF(LL[[#This Row],[Lab-confirmed?]]="Y",LL[[#This Row],[Test Date]],"")</f>
        <v/>
      </c>
      <c r="BE148" s="2" t="str">
        <f>IF(LL[[#This Row],[Lab-confirmed?]]="Y",LL[[#This Row],[Test Date 2]],"")</f>
        <v/>
      </c>
      <c r="BF148" s="139" t="str">
        <f>IF(LL[[#This Row],[Date Reported to Public Health]]&gt;0,LL[[#This Row],[Date Reported to Public Health]],"")</f>
        <v/>
      </c>
      <c r="BG148" s="13" t="str">
        <f t="shared" si="2"/>
        <v/>
      </c>
    </row>
    <row r="149" spans="1:59" x14ac:dyDescent="0.3">
      <c r="A149" s="11">
        <v>145</v>
      </c>
      <c r="B149" s="12"/>
      <c r="C149" s="13"/>
      <c r="D149" s="12"/>
      <c r="E149" s="12"/>
      <c r="F149" s="12"/>
      <c r="G149" s="16"/>
      <c r="H149" s="12"/>
      <c r="I149" s="14"/>
      <c r="J149" s="137"/>
      <c r="K149" s="137"/>
      <c r="L149" s="18"/>
      <c r="M149" s="139"/>
      <c r="N149" s="140"/>
      <c r="O149" s="137"/>
      <c r="P149" s="137"/>
      <c r="Q149" s="15"/>
      <c r="R149" s="12"/>
      <c r="S149" s="12"/>
      <c r="T149" s="12"/>
      <c r="U149" s="14"/>
      <c r="V149" s="15"/>
      <c r="W149" s="12"/>
      <c r="X149" s="12"/>
      <c r="Y149" s="12"/>
      <c r="Z149" s="12"/>
      <c r="AA149" s="12"/>
      <c r="AB149" s="14"/>
      <c r="AC149" s="15"/>
      <c r="AD149" s="12"/>
      <c r="AE149" s="12"/>
      <c r="AF149" s="14"/>
      <c r="AG149" s="18"/>
      <c r="AH149" s="18"/>
      <c r="AI149" s="17"/>
      <c r="AJ149" s="181"/>
      <c r="AK149" s="13"/>
      <c r="AL149" s="181"/>
      <c r="AM149" s="175"/>
      <c r="AN149" s="192"/>
      <c r="AO149" s="13"/>
      <c r="AP149" s="181"/>
      <c r="AQ149" s="175"/>
      <c r="AR149" s="18"/>
      <c r="AS149" s="12"/>
      <c r="AT149" s="12"/>
      <c r="AU149" s="12"/>
      <c r="AV149" s="12"/>
      <c r="AW149" s="137"/>
      <c r="AX149" s="13"/>
      <c r="AY149" s="138"/>
      <c r="AZ149" s="140"/>
      <c r="BA149" s="18"/>
      <c r="BB149" s="18" t="e">
        <f>IF(#REF!&lt;&gt;0,IF(LL[[#This Row],[Date of Birth]]&lt;&gt;0,YEAR(#REF!-LL[[#This Row],[Date of Birth]])-1900,""),"")</f>
        <v>#REF!</v>
      </c>
      <c r="BC149" s="2" t="str">
        <f>IF(LL[[#This Row],[Sx Onset Date]]&gt;0,LL[[#This Row],[Sx Onset Date]],"")</f>
        <v/>
      </c>
      <c r="BD149" s="2" t="str">
        <f>IF(LL[[#This Row],[Lab-confirmed?]]="Y",LL[[#This Row],[Test Date]],"")</f>
        <v/>
      </c>
      <c r="BE149" s="2" t="str">
        <f>IF(LL[[#This Row],[Lab-confirmed?]]="Y",LL[[#This Row],[Test Date 2]],"")</f>
        <v/>
      </c>
      <c r="BF149" s="139" t="str">
        <f>IF(LL[[#This Row],[Date Reported to Public Health]]&gt;0,LL[[#This Row],[Date Reported to Public Health]],"")</f>
        <v/>
      </c>
      <c r="BG149" s="13" t="str">
        <f t="shared" si="2"/>
        <v/>
      </c>
    </row>
    <row r="150" spans="1:59" x14ac:dyDescent="0.3">
      <c r="A150" s="11">
        <v>146</v>
      </c>
      <c r="B150" s="12"/>
      <c r="C150" s="13"/>
      <c r="D150" s="12"/>
      <c r="E150" s="12"/>
      <c r="F150" s="12"/>
      <c r="G150" s="16"/>
      <c r="H150" s="12"/>
      <c r="I150" s="14"/>
      <c r="J150" s="137"/>
      <c r="K150" s="137"/>
      <c r="L150" s="18"/>
      <c r="M150" s="139"/>
      <c r="N150" s="140"/>
      <c r="O150" s="137"/>
      <c r="P150" s="137"/>
      <c r="Q150" s="15"/>
      <c r="R150" s="12"/>
      <c r="S150" s="12"/>
      <c r="T150" s="12"/>
      <c r="U150" s="14"/>
      <c r="V150" s="15"/>
      <c r="W150" s="12"/>
      <c r="X150" s="12"/>
      <c r="Y150" s="12"/>
      <c r="Z150" s="12"/>
      <c r="AA150" s="12"/>
      <c r="AB150" s="14"/>
      <c r="AC150" s="15"/>
      <c r="AD150" s="12"/>
      <c r="AE150" s="12"/>
      <c r="AF150" s="14"/>
      <c r="AG150" s="18"/>
      <c r="AH150" s="18"/>
      <c r="AI150" s="17"/>
      <c r="AJ150" s="181"/>
      <c r="AK150" s="13"/>
      <c r="AL150" s="181"/>
      <c r="AM150" s="175"/>
      <c r="AN150" s="192"/>
      <c r="AO150" s="13"/>
      <c r="AP150" s="181"/>
      <c r="AQ150" s="175"/>
      <c r="AR150" s="18"/>
      <c r="AS150" s="12"/>
      <c r="AT150" s="12"/>
      <c r="AU150" s="12"/>
      <c r="AV150" s="12"/>
      <c r="AW150" s="137"/>
      <c r="AX150" s="13"/>
      <c r="AY150" s="138"/>
      <c r="AZ150" s="140"/>
      <c r="BA150" s="18"/>
      <c r="BB150" s="18" t="e">
        <f>IF(#REF!&lt;&gt;0,IF(LL[[#This Row],[Date of Birth]]&lt;&gt;0,YEAR(#REF!-LL[[#This Row],[Date of Birth]])-1900,""),"")</f>
        <v>#REF!</v>
      </c>
      <c r="BC150" s="2" t="str">
        <f>IF(LL[[#This Row],[Sx Onset Date]]&gt;0,LL[[#This Row],[Sx Onset Date]],"")</f>
        <v/>
      </c>
      <c r="BD150" s="2" t="str">
        <f>IF(LL[[#This Row],[Lab-confirmed?]]="Y",LL[[#This Row],[Test Date]],"")</f>
        <v/>
      </c>
      <c r="BE150" s="2" t="str">
        <f>IF(LL[[#This Row],[Lab-confirmed?]]="Y",LL[[#This Row],[Test Date 2]],"")</f>
        <v/>
      </c>
      <c r="BF150" s="139" t="str">
        <f>IF(LL[[#This Row],[Date Reported to Public Health]]&gt;0,LL[[#This Row],[Date Reported to Public Health]],"")</f>
        <v/>
      </c>
      <c r="BG150" s="13" t="str">
        <f t="shared" si="2"/>
        <v/>
      </c>
    </row>
    <row r="151" spans="1:59" x14ac:dyDescent="0.3">
      <c r="A151" s="11">
        <v>147</v>
      </c>
      <c r="B151" s="12"/>
      <c r="C151" s="13"/>
      <c r="D151" s="12"/>
      <c r="E151" s="12"/>
      <c r="F151" s="12"/>
      <c r="G151" s="16"/>
      <c r="H151" s="12"/>
      <c r="I151" s="14"/>
      <c r="J151" s="137"/>
      <c r="K151" s="137"/>
      <c r="L151" s="18"/>
      <c r="M151" s="139"/>
      <c r="N151" s="140"/>
      <c r="O151" s="137"/>
      <c r="P151" s="137"/>
      <c r="Q151" s="15"/>
      <c r="R151" s="12"/>
      <c r="S151" s="12"/>
      <c r="T151" s="12"/>
      <c r="U151" s="14"/>
      <c r="V151" s="15"/>
      <c r="W151" s="12"/>
      <c r="X151" s="12"/>
      <c r="Y151" s="12"/>
      <c r="Z151" s="12"/>
      <c r="AA151" s="12"/>
      <c r="AB151" s="14"/>
      <c r="AC151" s="15"/>
      <c r="AD151" s="12"/>
      <c r="AE151" s="12"/>
      <c r="AF151" s="14"/>
      <c r="AG151" s="18"/>
      <c r="AH151" s="18"/>
      <c r="AI151" s="17"/>
      <c r="AJ151" s="181"/>
      <c r="AK151" s="13"/>
      <c r="AL151" s="181"/>
      <c r="AM151" s="175"/>
      <c r="AN151" s="192"/>
      <c r="AO151" s="13"/>
      <c r="AP151" s="181"/>
      <c r="AQ151" s="175"/>
      <c r="AR151" s="18"/>
      <c r="AS151" s="12"/>
      <c r="AT151" s="12"/>
      <c r="AU151" s="12"/>
      <c r="AV151" s="12"/>
      <c r="AW151" s="137"/>
      <c r="AX151" s="13"/>
      <c r="AY151" s="138"/>
      <c r="AZ151" s="140"/>
      <c r="BA151" s="18"/>
      <c r="BB151" s="18" t="e">
        <f>IF(#REF!&lt;&gt;0,IF(LL[[#This Row],[Date of Birth]]&lt;&gt;0,YEAR(#REF!-LL[[#This Row],[Date of Birth]])-1900,""),"")</f>
        <v>#REF!</v>
      </c>
      <c r="BC151" s="2" t="str">
        <f>IF(LL[[#This Row],[Sx Onset Date]]&gt;0,LL[[#This Row],[Sx Onset Date]],"")</f>
        <v/>
      </c>
      <c r="BD151" s="2" t="str">
        <f>IF(LL[[#This Row],[Lab-confirmed?]]="Y",LL[[#This Row],[Test Date]],"")</f>
        <v/>
      </c>
      <c r="BE151" s="2" t="str">
        <f>IF(LL[[#This Row],[Lab-confirmed?]]="Y",LL[[#This Row],[Test Date 2]],"")</f>
        <v/>
      </c>
      <c r="BF151" s="139" t="str">
        <f>IF(LL[[#This Row],[Date Reported to Public Health]]&gt;0,LL[[#This Row],[Date Reported to Public Health]],"")</f>
        <v/>
      </c>
      <c r="BG151" s="13" t="str">
        <f t="shared" si="2"/>
        <v/>
      </c>
    </row>
    <row r="152" spans="1:59" x14ac:dyDescent="0.3">
      <c r="A152" s="11">
        <v>148</v>
      </c>
      <c r="B152" s="12"/>
      <c r="C152" s="13"/>
      <c r="D152" s="12"/>
      <c r="E152" s="12"/>
      <c r="F152" s="12"/>
      <c r="G152" s="16"/>
      <c r="H152" s="12"/>
      <c r="I152" s="14"/>
      <c r="J152" s="137"/>
      <c r="K152" s="137"/>
      <c r="L152" s="18"/>
      <c r="M152" s="139"/>
      <c r="N152" s="140"/>
      <c r="O152" s="137"/>
      <c r="P152" s="137"/>
      <c r="Q152" s="15"/>
      <c r="R152" s="12"/>
      <c r="S152" s="12"/>
      <c r="T152" s="12"/>
      <c r="U152" s="14"/>
      <c r="V152" s="15"/>
      <c r="W152" s="12"/>
      <c r="X152" s="12"/>
      <c r="Y152" s="12"/>
      <c r="Z152" s="12"/>
      <c r="AA152" s="12"/>
      <c r="AB152" s="14"/>
      <c r="AC152" s="15"/>
      <c r="AD152" s="12"/>
      <c r="AE152" s="12"/>
      <c r="AF152" s="14"/>
      <c r="AG152" s="18"/>
      <c r="AH152" s="18"/>
      <c r="AI152" s="17"/>
      <c r="AJ152" s="181"/>
      <c r="AK152" s="13"/>
      <c r="AL152" s="181"/>
      <c r="AM152" s="175"/>
      <c r="AN152" s="192"/>
      <c r="AO152" s="13"/>
      <c r="AP152" s="181"/>
      <c r="AQ152" s="175"/>
      <c r="AR152" s="18"/>
      <c r="AS152" s="12"/>
      <c r="AT152" s="12"/>
      <c r="AU152" s="12"/>
      <c r="AV152" s="12"/>
      <c r="AW152" s="137"/>
      <c r="AX152" s="13"/>
      <c r="AY152" s="138"/>
      <c r="AZ152" s="140"/>
      <c r="BA152" s="18"/>
      <c r="BB152" s="18" t="e">
        <f>IF(#REF!&lt;&gt;0,IF(LL[[#This Row],[Date of Birth]]&lt;&gt;0,YEAR(#REF!-LL[[#This Row],[Date of Birth]])-1900,""),"")</f>
        <v>#REF!</v>
      </c>
      <c r="BC152" s="2" t="str">
        <f>IF(LL[[#This Row],[Sx Onset Date]]&gt;0,LL[[#This Row],[Sx Onset Date]],"")</f>
        <v/>
      </c>
      <c r="BD152" s="2" t="str">
        <f>IF(LL[[#This Row],[Lab-confirmed?]]="Y",LL[[#This Row],[Test Date]],"")</f>
        <v/>
      </c>
      <c r="BE152" s="2" t="str">
        <f>IF(LL[[#This Row],[Lab-confirmed?]]="Y",LL[[#This Row],[Test Date 2]],"")</f>
        <v/>
      </c>
      <c r="BF152" s="139" t="str">
        <f>IF(LL[[#This Row],[Date Reported to Public Health]]&gt;0,LL[[#This Row],[Date Reported to Public Health]],"")</f>
        <v/>
      </c>
      <c r="BG152" s="13" t="str">
        <f t="shared" si="2"/>
        <v/>
      </c>
    </row>
    <row r="153" spans="1:59" x14ac:dyDescent="0.3">
      <c r="A153" s="11">
        <v>149</v>
      </c>
      <c r="B153" s="12"/>
      <c r="C153" s="13"/>
      <c r="D153" s="12"/>
      <c r="E153" s="12"/>
      <c r="F153" s="12"/>
      <c r="G153" s="16"/>
      <c r="H153" s="12"/>
      <c r="I153" s="14"/>
      <c r="J153" s="137"/>
      <c r="K153" s="137"/>
      <c r="L153" s="18"/>
      <c r="M153" s="139"/>
      <c r="N153" s="140"/>
      <c r="O153" s="137"/>
      <c r="P153" s="137"/>
      <c r="Q153" s="15"/>
      <c r="R153" s="12"/>
      <c r="S153" s="12"/>
      <c r="T153" s="12"/>
      <c r="U153" s="14"/>
      <c r="V153" s="15"/>
      <c r="W153" s="12"/>
      <c r="X153" s="12"/>
      <c r="Y153" s="12"/>
      <c r="Z153" s="12"/>
      <c r="AA153" s="12"/>
      <c r="AB153" s="14"/>
      <c r="AC153" s="15"/>
      <c r="AD153" s="12"/>
      <c r="AE153" s="12"/>
      <c r="AF153" s="14"/>
      <c r="AG153" s="18"/>
      <c r="AH153" s="18"/>
      <c r="AI153" s="17"/>
      <c r="AJ153" s="181"/>
      <c r="AK153" s="13"/>
      <c r="AL153" s="181"/>
      <c r="AM153" s="175"/>
      <c r="AN153" s="192"/>
      <c r="AO153" s="13"/>
      <c r="AP153" s="181"/>
      <c r="AQ153" s="175"/>
      <c r="AR153" s="18"/>
      <c r="AS153" s="12"/>
      <c r="AT153" s="12"/>
      <c r="AU153" s="12"/>
      <c r="AV153" s="12"/>
      <c r="AW153" s="137"/>
      <c r="AX153" s="13"/>
      <c r="AY153" s="138"/>
      <c r="AZ153" s="140"/>
      <c r="BA153" s="18"/>
      <c r="BB153" s="18" t="e">
        <f>IF(#REF!&lt;&gt;0,IF(LL[[#This Row],[Date of Birth]]&lt;&gt;0,YEAR(#REF!-LL[[#This Row],[Date of Birth]])-1900,""),"")</f>
        <v>#REF!</v>
      </c>
      <c r="BC153" s="2" t="str">
        <f>IF(LL[[#This Row],[Sx Onset Date]]&gt;0,LL[[#This Row],[Sx Onset Date]],"")</f>
        <v/>
      </c>
      <c r="BD153" s="2" t="str">
        <f>IF(LL[[#This Row],[Lab-confirmed?]]="Y",LL[[#This Row],[Test Date]],"")</f>
        <v/>
      </c>
      <c r="BE153" s="2" t="str">
        <f>IF(LL[[#This Row],[Lab-confirmed?]]="Y",LL[[#This Row],[Test Date 2]],"")</f>
        <v/>
      </c>
      <c r="BF153" s="139" t="str">
        <f>IF(LL[[#This Row],[Date Reported to Public Health]]&gt;0,LL[[#This Row],[Date Reported to Public Health]],"")</f>
        <v/>
      </c>
      <c r="BG153" s="13" t="str">
        <f t="shared" si="2"/>
        <v/>
      </c>
    </row>
    <row r="154" spans="1:59" x14ac:dyDescent="0.3">
      <c r="A154" s="11">
        <v>150</v>
      </c>
      <c r="B154" s="12"/>
      <c r="C154" s="13"/>
      <c r="D154" s="12"/>
      <c r="E154" s="12"/>
      <c r="F154" s="12"/>
      <c r="G154" s="16"/>
      <c r="H154" s="12"/>
      <c r="I154" s="14"/>
      <c r="J154" s="137"/>
      <c r="K154" s="137"/>
      <c r="L154" s="18"/>
      <c r="M154" s="139"/>
      <c r="N154" s="140"/>
      <c r="O154" s="137"/>
      <c r="P154" s="137"/>
      <c r="Q154" s="15"/>
      <c r="R154" s="12"/>
      <c r="S154" s="12"/>
      <c r="T154" s="12"/>
      <c r="U154" s="14"/>
      <c r="V154" s="15"/>
      <c r="W154" s="12"/>
      <c r="X154" s="12"/>
      <c r="Y154" s="12"/>
      <c r="Z154" s="12"/>
      <c r="AA154" s="12"/>
      <c r="AB154" s="14"/>
      <c r="AC154" s="15"/>
      <c r="AD154" s="12"/>
      <c r="AE154" s="12"/>
      <c r="AF154" s="14"/>
      <c r="AG154" s="18"/>
      <c r="AH154" s="18"/>
      <c r="AI154" s="17"/>
      <c r="AJ154" s="181"/>
      <c r="AK154" s="13"/>
      <c r="AL154" s="181"/>
      <c r="AM154" s="175"/>
      <c r="AN154" s="192"/>
      <c r="AO154" s="13"/>
      <c r="AP154" s="181"/>
      <c r="AQ154" s="175"/>
      <c r="AR154" s="18"/>
      <c r="AS154" s="12"/>
      <c r="AT154" s="12"/>
      <c r="AU154" s="12"/>
      <c r="AV154" s="12"/>
      <c r="AW154" s="137"/>
      <c r="AX154" s="13"/>
      <c r="AY154" s="138"/>
      <c r="AZ154" s="140"/>
      <c r="BA154" s="18"/>
      <c r="BB154" s="18" t="e">
        <f>IF(#REF!&lt;&gt;0,IF(LL[[#This Row],[Date of Birth]]&lt;&gt;0,YEAR(#REF!-LL[[#This Row],[Date of Birth]])-1900,""),"")</f>
        <v>#REF!</v>
      </c>
      <c r="BC154" s="2" t="str">
        <f>IF(LL[[#This Row],[Sx Onset Date]]&gt;0,LL[[#This Row],[Sx Onset Date]],"")</f>
        <v/>
      </c>
      <c r="BD154" s="2" t="str">
        <f>IF(LL[[#This Row],[Lab-confirmed?]]="Y",LL[[#This Row],[Test Date]],"")</f>
        <v/>
      </c>
      <c r="BE154" s="2" t="str">
        <f>IF(LL[[#This Row],[Lab-confirmed?]]="Y",LL[[#This Row],[Test Date 2]],"")</f>
        <v/>
      </c>
      <c r="BF154" s="139" t="str">
        <f>IF(LL[[#This Row],[Date Reported to Public Health]]&gt;0,LL[[#This Row],[Date Reported to Public Health]],"")</f>
        <v/>
      </c>
      <c r="BG154" s="13" t="str">
        <f t="shared" si="2"/>
        <v/>
      </c>
    </row>
    <row r="155" spans="1:59" x14ac:dyDescent="0.3">
      <c r="A155" s="11">
        <v>151</v>
      </c>
      <c r="B155" s="12"/>
      <c r="C155" s="13"/>
      <c r="D155" s="12"/>
      <c r="E155" s="12"/>
      <c r="F155" s="12"/>
      <c r="G155" s="16"/>
      <c r="H155" s="12"/>
      <c r="I155" s="14"/>
      <c r="J155" s="137"/>
      <c r="K155" s="137"/>
      <c r="L155" s="18"/>
      <c r="M155" s="139"/>
      <c r="N155" s="140"/>
      <c r="O155" s="137"/>
      <c r="P155" s="137"/>
      <c r="Q155" s="15"/>
      <c r="R155" s="12"/>
      <c r="S155" s="12"/>
      <c r="T155" s="12"/>
      <c r="U155" s="14"/>
      <c r="V155" s="15"/>
      <c r="W155" s="12"/>
      <c r="X155" s="12"/>
      <c r="Y155" s="12"/>
      <c r="Z155" s="12"/>
      <c r="AA155" s="12"/>
      <c r="AB155" s="14"/>
      <c r="AC155" s="15"/>
      <c r="AD155" s="12"/>
      <c r="AE155" s="12"/>
      <c r="AF155" s="14"/>
      <c r="AG155" s="18"/>
      <c r="AH155" s="18"/>
      <c r="AI155" s="17"/>
      <c r="AJ155" s="181"/>
      <c r="AK155" s="13"/>
      <c r="AL155" s="181"/>
      <c r="AM155" s="175"/>
      <c r="AN155" s="192"/>
      <c r="AO155" s="13"/>
      <c r="AP155" s="181"/>
      <c r="AQ155" s="175"/>
      <c r="AR155" s="18"/>
      <c r="AS155" s="12"/>
      <c r="AT155" s="12"/>
      <c r="AU155" s="12"/>
      <c r="AV155" s="12"/>
      <c r="AW155" s="137"/>
      <c r="AX155" s="13"/>
      <c r="AY155" s="138"/>
      <c r="AZ155" s="140"/>
      <c r="BA155" s="18"/>
      <c r="BB155" s="18" t="e">
        <f>IF(#REF!&lt;&gt;0,IF(LL[[#This Row],[Date of Birth]]&lt;&gt;0,YEAR(#REF!-LL[[#This Row],[Date of Birth]])-1900,""),"")</f>
        <v>#REF!</v>
      </c>
      <c r="BC155" s="2" t="str">
        <f>IF(LL[[#This Row],[Sx Onset Date]]&gt;0,LL[[#This Row],[Sx Onset Date]],"")</f>
        <v/>
      </c>
      <c r="BD155" s="2" t="str">
        <f>IF(LL[[#This Row],[Lab-confirmed?]]="Y",LL[[#This Row],[Test Date]],"")</f>
        <v/>
      </c>
      <c r="BE155" s="2" t="str">
        <f>IF(LL[[#This Row],[Lab-confirmed?]]="Y",LL[[#This Row],[Test Date 2]],"")</f>
        <v/>
      </c>
      <c r="BF155" s="139" t="str">
        <f>IF(LL[[#This Row],[Date Reported to Public Health]]&gt;0,LL[[#This Row],[Date Reported to Public Health]],"")</f>
        <v/>
      </c>
      <c r="BG155" s="13" t="str">
        <f t="shared" si="2"/>
        <v/>
      </c>
    </row>
    <row r="156" spans="1:59" x14ac:dyDescent="0.3">
      <c r="A156" s="11">
        <v>152</v>
      </c>
      <c r="B156" s="12"/>
      <c r="C156" s="13"/>
      <c r="D156" s="12"/>
      <c r="E156" s="12"/>
      <c r="F156" s="12"/>
      <c r="G156" s="16"/>
      <c r="H156" s="12"/>
      <c r="I156" s="14"/>
      <c r="J156" s="137"/>
      <c r="K156" s="137"/>
      <c r="L156" s="18"/>
      <c r="M156" s="139"/>
      <c r="N156" s="140"/>
      <c r="O156" s="137"/>
      <c r="P156" s="137"/>
      <c r="Q156" s="15"/>
      <c r="R156" s="12"/>
      <c r="S156" s="12"/>
      <c r="T156" s="12"/>
      <c r="U156" s="14"/>
      <c r="V156" s="15"/>
      <c r="W156" s="12"/>
      <c r="X156" s="12"/>
      <c r="Y156" s="12"/>
      <c r="Z156" s="12"/>
      <c r="AA156" s="12"/>
      <c r="AB156" s="14"/>
      <c r="AC156" s="15"/>
      <c r="AD156" s="12"/>
      <c r="AE156" s="12"/>
      <c r="AF156" s="14"/>
      <c r="AG156" s="18"/>
      <c r="AH156" s="18"/>
      <c r="AI156" s="17"/>
      <c r="AJ156" s="181"/>
      <c r="AK156" s="13"/>
      <c r="AL156" s="181"/>
      <c r="AM156" s="175"/>
      <c r="AN156" s="192"/>
      <c r="AO156" s="13"/>
      <c r="AP156" s="181"/>
      <c r="AQ156" s="175"/>
      <c r="AR156" s="18"/>
      <c r="AS156" s="12"/>
      <c r="AT156" s="12"/>
      <c r="AU156" s="12"/>
      <c r="AV156" s="12"/>
      <c r="AW156" s="137"/>
      <c r="AX156" s="13"/>
      <c r="AY156" s="138"/>
      <c r="AZ156" s="140"/>
      <c r="BA156" s="18"/>
      <c r="BB156" s="18" t="e">
        <f>IF(#REF!&lt;&gt;0,IF(LL[[#This Row],[Date of Birth]]&lt;&gt;0,YEAR(#REF!-LL[[#This Row],[Date of Birth]])-1900,""),"")</f>
        <v>#REF!</v>
      </c>
      <c r="BC156" s="2" t="str">
        <f>IF(LL[[#This Row],[Sx Onset Date]]&gt;0,LL[[#This Row],[Sx Onset Date]],"")</f>
        <v/>
      </c>
      <c r="BD156" s="2" t="str">
        <f>IF(LL[[#This Row],[Lab-confirmed?]]="Y",LL[[#This Row],[Test Date]],"")</f>
        <v/>
      </c>
      <c r="BE156" s="2" t="str">
        <f>IF(LL[[#This Row],[Lab-confirmed?]]="Y",LL[[#This Row],[Test Date 2]],"")</f>
        <v/>
      </c>
      <c r="BF156" s="139" t="str">
        <f>IF(LL[[#This Row],[Date Reported to Public Health]]&gt;0,LL[[#This Row],[Date Reported to Public Health]],"")</f>
        <v/>
      </c>
      <c r="BG156" s="13" t="str">
        <f t="shared" si="2"/>
        <v/>
      </c>
    </row>
    <row r="157" spans="1:59" x14ac:dyDescent="0.3">
      <c r="A157" s="11">
        <v>153</v>
      </c>
      <c r="B157" s="12"/>
      <c r="C157" s="13"/>
      <c r="D157" s="12"/>
      <c r="E157" s="12"/>
      <c r="F157" s="12"/>
      <c r="G157" s="16"/>
      <c r="H157" s="12"/>
      <c r="I157" s="14"/>
      <c r="J157" s="137"/>
      <c r="K157" s="137"/>
      <c r="L157" s="18"/>
      <c r="M157" s="139"/>
      <c r="N157" s="140"/>
      <c r="O157" s="137"/>
      <c r="P157" s="137"/>
      <c r="Q157" s="15"/>
      <c r="R157" s="12"/>
      <c r="S157" s="12"/>
      <c r="T157" s="12"/>
      <c r="U157" s="14"/>
      <c r="V157" s="15"/>
      <c r="W157" s="12"/>
      <c r="X157" s="12"/>
      <c r="Y157" s="12"/>
      <c r="Z157" s="12"/>
      <c r="AA157" s="12"/>
      <c r="AB157" s="14"/>
      <c r="AC157" s="15"/>
      <c r="AD157" s="12"/>
      <c r="AE157" s="12"/>
      <c r="AF157" s="14"/>
      <c r="AG157" s="18"/>
      <c r="AH157" s="18"/>
      <c r="AI157" s="17"/>
      <c r="AJ157" s="181"/>
      <c r="AK157" s="13"/>
      <c r="AL157" s="181"/>
      <c r="AM157" s="175"/>
      <c r="AN157" s="192"/>
      <c r="AO157" s="13"/>
      <c r="AP157" s="181"/>
      <c r="AQ157" s="175"/>
      <c r="AR157" s="18"/>
      <c r="AS157" s="12"/>
      <c r="AT157" s="12"/>
      <c r="AU157" s="12"/>
      <c r="AV157" s="12"/>
      <c r="AW157" s="137"/>
      <c r="AX157" s="13"/>
      <c r="AY157" s="138"/>
      <c r="AZ157" s="140"/>
      <c r="BA157" s="18"/>
      <c r="BB157" s="18" t="e">
        <f>IF(#REF!&lt;&gt;0,IF(LL[[#This Row],[Date of Birth]]&lt;&gt;0,YEAR(#REF!-LL[[#This Row],[Date of Birth]])-1900,""),"")</f>
        <v>#REF!</v>
      </c>
      <c r="BC157" s="2" t="str">
        <f>IF(LL[[#This Row],[Sx Onset Date]]&gt;0,LL[[#This Row],[Sx Onset Date]],"")</f>
        <v/>
      </c>
      <c r="BD157" s="2" t="str">
        <f>IF(LL[[#This Row],[Lab-confirmed?]]="Y",LL[[#This Row],[Test Date]],"")</f>
        <v/>
      </c>
      <c r="BE157" s="2" t="str">
        <f>IF(LL[[#This Row],[Lab-confirmed?]]="Y",LL[[#This Row],[Test Date 2]],"")</f>
        <v/>
      </c>
      <c r="BF157" s="139" t="str">
        <f>IF(LL[[#This Row],[Date Reported to Public Health]]&gt;0,LL[[#This Row],[Date Reported to Public Health]],"")</f>
        <v/>
      </c>
      <c r="BG157" s="13" t="str">
        <f t="shared" si="2"/>
        <v/>
      </c>
    </row>
    <row r="158" spans="1:59" x14ac:dyDescent="0.3">
      <c r="A158" s="11">
        <v>154</v>
      </c>
      <c r="B158" s="12"/>
      <c r="C158" s="13"/>
      <c r="D158" s="12"/>
      <c r="E158" s="12"/>
      <c r="F158" s="12"/>
      <c r="G158" s="16"/>
      <c r="H158" s="12"/>
      <c r="I158" s="14"/>
      <c r="J158" s="137"/>
      <c r="K158" s="137"/>
      <c r="L158" s="18"/>
      <c r="M158" s="139"/>
      <c r="N158" s="140"/>
      <c r="O158" s="137"/>
      <c r="P158" s="137"/>
      <c r="Q158" s="15"/>
      <c r="R158" s="12"/>
      <c r="S158" s="12"/>
      <c r="T158" s="12"/>
      <c r="U158" s="14"/>
      <c r="V158" s="15"/>
      <c r="W158" s="12"/>
      <c r="X158" s="12"/>
      <c r="Y158" s="12"/>
      <c r="Z158" s="12"/>
      <c r="AA158" s="12"/>
      <c r="AB158" s="14"/>
      <c r="AC158" s="15"/>
      <c r="AD158" s="12"/>
      <c r="AE158" s="12"/>
      <c r="AF158" s="14"/>
      <c r="AG158" s="18"/>
      <c r="AH158" s="18"/>
      <c r="AI158" s="17"/>
      <c r="AJ158" s="181"/>
      <c r="AK158" s="13"/>
      <c r="AL158" s="181"/>
      <c r="AM158" s="175"/>
      <c r="AN158" s="192"/>
      <c r="AO158" s="13"/>
      <c r="AP158" s="181"/>
      <c r="AQ158" s="175"/>
      <c r="AR158" s="18"/>
      <c r="AS158" s="12"/>
      <c r="AT158" s="12"/>
      <c r="AU158" s="12"/>
      <c r="AV158" s="12"/>
      <c r="AW158" s="137"/>
      <c r="AX158" s="13"/>
      <c r="AY158" s="138"/>
      <c r="AZ158" s="140"/>
      <c r="BA158" s="18"/>
      <c r="BB158" s="18" t="e">
        <f>IF(#REF!&lt;&gt;0,IF(LL[[#This Row],[Date of Birth]]&lt;&gt;0,YEAR(#REF!-LL[[#This Row],[Date of Birth]])-1900,""),"")</f>
        <v>#REF!</v>
      </c>
      <c r="BC158" s="2" t="str">
        <f>IF(LL[[#This Row],[Sx Onset Date]]&gt;0,LL[[#This Row],[Sx Onset Date]],"")</f>
        <v/>
      </c>
      <c r="BD158" s="2" t="str">
        <f>IF(LL[[#This Row],[Lab-confirmed?]]="Y",LL[[#This Row],[Test Date]],"")</f>
        <v/>
      </c>
      <c r="BE158" s="2" t="str">
        <f>IF(LL[[#This Row],[Lab-confirmed?]]="Y",LL[[#This Row],[Test Date 2]],"")</f>
        <v/>
      </c>
      <c r="BF158" s="139" t="str">
        <f>IF(LL[[#This Row],[Date Reported to Public Health]]&gt;0,LL[[#This Row],[Date Reported to Public Health]],"")</f>
        <v/>
      </c>
      <c r="BG158" s="13" t="str">
        <f t="shared" si="2"/>
        <v/>
      </c>
    </row>
    <row r="159" spans="1:59" x14ac:dyDescent="0.3">
      <c r="A159" s="11">
        <v>155</v>
      </c>
      <c r="B159" s="12"/>
      <c r="C159" s="13"/>
      <c r="D159" s="12"/>
      <c r="E159" s="12"/>
      <c r="F159" s="12"/>
      <c r="G159" s="16"/>
      <c r="H159" s="12"/>
      <c r="I159" s="14"/>
      <c r="J159" s="137"/>
      <c r="K159" s="137"/>
      <c r="L159" s="18"/>
      <c r="M159" s="139"/>
      <c r="N159" s="140"/>
      <c r="O159" s="137"/>
      <c r="P159" s="137"/>
      <c r="Q159" s="15"/>
      <c r="R159" s="12"/>
      <c r="S159" s="12"/>
      <c r="T159" s="12"/>
      <c r="U159" s="14"/>
      <c r="V159" s="15"/>
      <c r="W159" s="12"/>
      <c r="X159" s="12"/>
      <c r="Y159" s="12"/>
      <c r="Z159" s="12"/>
      <c r="AA159" s="12"/>
      <c r="AB159" s="14"/>
      <c r="AC159" s="15"/>
      <c r="AD159" s="12"/>
      <c r="AE159" s="12"/>
      <c r="AF159" s="14"/>
      <c r="AG159" s="18"/>
      <c r="AH159" s="18"/>
      <c r="AI159" s="17"/>
      <c r="AJ159" s="181"/>
      <c r="AK159" s="13"/>
      <c r="AL159" s="181"/>
      <c r="AM159" s="175"/>
      <c r="AN159" s="192"/>
      <c r="AO159" s="13"/>
      <c r="AP159" s="181"/>
      <c r="AQ159" s="175"/>
      <c r="AR159" s="18"/>
      <c r="AS159" s="12"/>
      <c r="AT159" s="12"/>
      <c r="AU159" s="12"/>
      <c r="AV159" s="12"/>
      <c r="AW159" s="137"/>
      <c r="AX159" s="13"/>
      <c r="AY159" s="138"/>
      <c r="AZ159" s="140"/>
      <c r="BA159" s="18"/>
      <c r="BB159" s="18" t="e">
        <f>IF(#REF!&lt;&gt;0,IF(LL[[#This Row],[Date of Birth]]&lt;&gt;0,YEAR(#REF!-LL[[#This Row],[Date of Birth]])-1900,""),"")</f>
        <v>#REF!</v>
      </c>
      <c r="BC159" s="2" t="str">
        <f>IF(LL[[#This Row],[Sx Onset Date]]&gt;0,LL[[#This Row],[Sx Onset Date]],"")</f>
        <v/>
      </c>
      <c r="BD159" s="2" t="str">
        <f>IF(LL[[#This Row],[Lab-confirmed?]]="Y",LL[[#This Row],[Test Date]],"")</f>
        <v/>
      </c>
      <c r="BE159" s="2" t="str">
        <f>IF(LL[[#This Row],[Lab-confirmed?]]="Y",LL[[#This Row],[Test Date 2]],"")</f>
        <v/>
      </c>
      <c r="BF159" s="139" t="str">
        <f>IF(LL[[#This Row],[Date Reported to Public Health]]&gt;0,LL[[#This Row],[Date Reported to Public Health]],"")</f>
        <v/>
      </c>
      <c r="BG159" s="13" t="str">
        <f t="shared" si="2"/>
        <v/>
      </c>
    </row>
    <row r="160" spans="1:59" x14ac:dyDescent="0.3">
      <c r="A160" s="11">
        <v>156</v>
      </c>
      <c r="B160" s="12"/>
      <c r="C160" s="13"/>
      <c r="D160" s="12"/>
      <c r="E160" s="12"/>
      <c r="F160" s="12"/>
      <c r="G160" s="16"/>
      <c r="H160" s="12"/>
      <c r="I160" s="14"/>
      <c r="J160" s="137"/>
      <c r="K160" s="137"/>
      <c r="L160" s="18"/>
      <c r="M160" s="139"/>
      <c r="N160" s="140"/>
      <c r="O160" s="137"/>
      <c r="P160" s="137"/>
      <c r="Q160" s="15"/>
      <c r="R160" s="12"/>
      <c r="S160" s="12"/>
      <c r="T160" s="12"/>
      <c r="U160" s="14"/>
      <c r="V160" s="15"/>
      <c r="W160" s="12"/>
      <c r="X160" s="12"/>
      <c r="Y160" s="12"/>
      <c r="Z160" s="12"/>
      <c r="AA160" s="12"/>
      <c r="AB160" s="14"/>
      <c r="AC160" s="15"/>
      <c r="AD160" s="12"/>
      <c r="AE160" s="12"/>
      <c r="AF160" s="14"/>
      <c r="AG160" s="18"/>
      <c r="AH160" s="18"/>
      <c r="AI160" s="17"/>
      <c r="AJ160" s="181"/>
      <c r="AK160" s="13"/>
      <c r="AL160" s="181"/>
      <c r="AM160" s="175"/>
      <c r="AN160" s="192"/>
      <c r="AO160" s="13"/>
      <c r="AP160" s="181"/>
      <c r="AQ160" s="175"/>
      <c r="AR160" s="18"/>
      <c r="AS160" s="12"/>
      <c r="AT160" s="12"/>
      <c r="AU160" s="12"/>
      <c r="AV160" s="12"/>
      <c r="AW160" s="137"/>
      <c r="AX160" s="13"/>
      <c r="AY160" s="138"/>
      <c r="AZ160" s="140"/>
      <c r="BA160" s="18"/>
      <c r="BB160" s="18" t="e">
        <f>IF(#REF!&lt;&gt;0,IF(LL[[#This Row],[Date of Birth]]&lt;&gt;0,YEAR(#REF!-LL[[#This Row],[Date of Birth]])-1900,""),"")</f>
        <v>#REF!</v>
      </c>
      <c r="BC160" s="2" t="str">
        <f>IF(LL[[#This Row],[Sx Onset Date]]&gt;0,LL[[#This Row],[Sx Onset Date]],"")</f>
        <v/>
      </c>
      <c r="BD160" s="2" t="str">
        <f>IF(LL[[#This Row],[Lab-confirmed?]]="Y",LL[[#This Row],[Test Date]],"")</f>
        <v/>
      </c>
      <c r="BE160" s="2" t="str">
        <f>IF(LL[[#This Row],[Lab-confirmed?]]="Y",LL[[#This Row],[Test Date 2]],"")</f>
        <v/>
      </c>
      <c r="BF160" s="139" t="str">
        <f>IF(LL[[#This Row],[Date Reported to Public Health]]&gt;0,LL[[#This Row],[Date Reported to Public Health]],"")</f>
        <v/>
      </c>
      <c r="BG160" s="13" t="str">
        <f t="shared" si="2"/>
        <v/>
      </c>
    </row>
    <row r="161" spans="1:59" x14ac:dyDescent="0.3">
      <c r="A161" s="11">
        <v>157</v>
      </c>
      <c r="B161" s="12"/>
      <c r="C161" s="13"/>
      <c r="D161" s="12"/>
      <c r="E161" s="12"/>
      <c r="F161" s="12"/>
      <c r="G161" s="16"/>
      <c r="H161" s="12"/>
      <c r="I161" s="14"/>
      <c r="J161" s="137"/>
      <c r="K161" s="137"/>
      <c r="L161" s="18"/>
      <c r="M161" s="139"/>
      <c r="N161" s="140"/>
      <c r="O161" s="137"/>
      <c r="P161" s="137"/>
      <c r="Q161" s="15"/>
      <c r="R161" s="12"/>
      <c r="S161" s="12"/>
      <c r="T161" s="12"/>
      <c r="U161" s="14"/>
      <c r="V161" s="15"/>
      <c r="W161" s="12"/>
      <c r="X161" s="12"/>
      <c r="Y161" s="12"/>
      <c r="Z161" s="12"/>
      <c r="AA161" s="12"/>
      <c r="AB161" s="14"/>
      <c r="AC161" s="15"/>
      <c r="AD161" s="12"/>
      <c r="AE161" s="12"/>
      <c r="AF161" s="14"/>
      <c r="AG161" s="18"/>
      <c r="AH161" s="18"/>
      <c r="AI161" s="17"/>
      <c r="AJ161" s="181"/>
      <c r="AK161" s="13"/>
      <c r="AL161" s="181"/>
      <c r="AM161" s="175"/>
      <c r="AN161" s="192"/>
      <c r="AO161" s="13"/>
      <c r="AP161" s="181"/>
      <c r="AQ161" s="175"/>
      <c r="AR161" s="18"/>
      <c r="AS161" s="12"/>
      <c r="AT161" s="12"/>
      <c r="AU161" s="12"/>
      <c r="AV161" s="12"/>
      <c r="AW161" s="137"/>
      <c r="AX161" s="13"/>
      <c r="AY161" s="138"/>
      <c r="AZ161" s="140"/>
      <c r="BA161" s="18"/>
      <c r="BB161" s="18" t="e">
        <f>IF(#REF!&lt;&gt;0,IF(LL[[#This Row],[Date of Birth]]&lt;&gt;0,YEAR(#REF!-LL[[#This Row],[Date of Birth]])-1900,""),"")</f>
        <v>#REF!</v>
      </c>
      <c r="BC161" s="2" t="str">
        <f>IF(LL[[#This Row],[Sx Onset Date]]&gt;0,LL[[#This Row],[Sx Onset Date]],"")</f>
        <v/>
      </c>
      <c r="BD161" s="2" t="str">
        <f>IF(LL[[#This Row],[Lab-confirmed?]]="Y",LL[[#This Row],[Test Date]],"")</f>
        <v/>
      </c>
      <c r="BE161" s="2" t="str">
        <f>IF(LL[[#This Row],[Lab-confirmed?]]="Y",LL[[#This Row],[Test Date 2]],"")</f>
        <v/>
      </c>
      <c r="BF161" s="139" t="str">
        <f>IF(LL[[#This Row],[Date Reported to Public Health]]&gt;0,LL[[#This Row],[Date Reported to Public Health]],"")</f>
        <v/>
      </c>
      <c r="BG161" s="13" t="str">
        <f t="shared" si="2"/>
        <v/>
      </c>
    </row>
    <row r="162" spans="1:59" x14ac:dyDescent="0.3">
      <c r="A162" s="11">
        <v>158</v>
      </c>
      <c r="B162" s="12"/>
      <c r="C162" s="13"/>
      <c r="D162" s="12"/>
      <c r="E162" s="12"/>
      <c r="F162" s="12"/>
      <c r="G162" s="16"/>
      <c r="H162" s="12"/>
      <c r="I162" s="14"/>
      <c r="J162" s="137"/>
      <c r="K162" s="137"/>
      <c r="L162" s="18"/>
      <c r="M162" s="139"/>
      <c r="N162" s="140"/>
      <c r="O162" s="137"/>
      <c r="P162" s="137"/>
      <c r="Q162" s="15"/>
      <c r="R162" s="12"/>
      <c r="S162" s="12"/>
      <c r="T162" s="12"/>
      <c r="U162" s="14"/>
      <c r="V162" s="15"/>
      <c r="W162" s="12"/>
      <c r="X162" s="12"/>
      <c r="Y162" s="12"/>
      <c r="Z162" s="12"/>
      <c r="AA162" s="12"/>
      <c r="AB162" s="14"/>
      <c r="AC162" s="15"/>
      <c r="AD162" s="12"/>
      <c r="AE162" s="12"/>
      <c r="AF162" s="14"/>
      <c r="AG162" s="18"/>
      <c r="AH162" s="18"/>
      <c r="AI162" s="17"/>
      <c r="AJ162" s="181"/>
      <c r="AK162" s="13"/>
      <c r="AL162" s="181"/>
      <c r="AM162" s="175"/>
      <c r="AN162" s="192"/>
      <c r="AO162" s="13"/>
      <c r="AP162" s="181"/>
      <c r="AQ162" s="175"/>
      <c r="AR162" s="18"/>
      <c r="AS162" s="12"/>
      <c r="AT162" s="12"/>
      <c r="AU162" s="12"/>
      <c r="AV162" s="12"/>
      <c r="AW162" s="137"/>
      <c r="AX162" s="13"/>
      <c r="AY162" s="138"/>
      <c r="AZ162" s="140"/>
      <c r="BA162" s="18"/>
      <c r="BB162" s="18" t="e">
        <f>IF(#REF!&lt;&gt;0,IF(LL[[#This Row],[Date of Birth]]&lt;&gt;0,YEAR(#REF!-LL[[#This Row],[Date of Birth]])-1900,""),"")</f>
        <v>#REF!</v>
      </c>
      <c r="BC162" s="2" t="str">
        <f>IF(LL[[#This Row],[Sx Onset Date]]&gt;0,LL[[#This Row],[Sx Onset Date]],"")</f>
        <v/>
      </c>
      <c r="BD162" s="2" t="str">
        <f>IF(LL[[#This Row],[Lab-confirmed?]]="Y",LL[[#This Row],[Test Date]],"")</f>
        <v/>
      </c>
      <c r="BE162" s="2" t="str">
        <f>IF(LL[[#This Row],[Lab-confirmed?]]="Y",LL[[#This Row],[Test Date 2]],"")</f>
        <v/>
      </c>
      <c r="BF162" s="139" t="str">
        <f>IF(LL[[#This Row],[Date Reported to Public Health]]&gt;0,LL[[#This Row],[Date Reported to Public Health]],"")</f>
        <v/>
      </c>
      <c r="BG162" s="13" t="str">
        <f t="shared" si="2"/>
        <v/>
      </c>
    </row>
    <row r="163" spans="1:59" x14ac:dyDescent="0.3">
      <c r="A163" s="11">
        <v>159</v>
      </c>
      <c r="B163" s="12"/>
      <c r="C163" s="13"/>
      <c r="D163" s="12"/>
      <c r="E163" s="12"/>
      <c r="F163" s="12"/>
      <c r="G163" s="16"/>
      <c r="H163" s="12"/>
      <c r="I163" s="14"/>
      <c r="J163" s="137"/>
      <c r="K163" s="137"/>
      <c r="L163" s="18"/>
      <c r="M163" s="139"/>
      <c r="N163" s="140"/>
      <c r="O163" s="137"/>
      <c r="P163" s="137"/>
      <c r="Q163" s="15"/>
      <c r="R163" s="12"/>
      <c r="S163" s="12"/>
      <c r="T163" s="12"/>
      <c r="U163" s="14"/>
      <c r="V163" s="15"/>
      <c r="W163" s="12"/>
      <c r="X163" s="12"/>
      <c r="Y163" s="12"/>
      <c r="Z163" s="12"/>
      <c r="AA163" s="12"/>
      <c r="AB163" s="14"/>
      <c r="AC163" s="15"/>
      <c r="AD163" s="12"/>
      <c r="AE163" s="12"/>
      <c r="AF163" s="14"/>
      <c r="AG163" s="18"/>
      <c r="AH163" s="18"/>
      <c r="AI163" s="17"/>
      <c r="AJ163" s="181"/>
      <c r="AK163" s="13"/>
      <c r="AL163" s="181"/>
      <c r="AM163" s="175"/>
      <c r="AN163" s="192"/>
      <c r="AO163" s="13"/>
      <c r="AP163" s="181"/>
      <c r="AQ163" s="175"/>
      <c r="AR163" s="18"/>
      <c r="AS163" s="12"/>
      <c r="AT163" s="12"/>
      <c r="AU163" s="12"/>
      <c r="AV163" s="12"/>
      <c r="AW163" s="137"/>
      <c r="AX163" s="13"/>
      <c r="AY163" s="138"/>
      <c r="AZ163" s="140"/>
      <c r="BA163" s="18"/>
      <c r="BB163" s="18" t="e">
        <f>IF(#REF!&lt;&gt;0,IF(LL[[#This Row],[Date of Birth]]&lt;&gt;0,YEAR(#REF!-LL[[#This Row],[Date of Birth]])-1900,""),"")</f>
        <v>#REF!</v>
      </c>
      <c r="BC163" s="2" t="str">
        <f>IF(LL[[#This Row],[Sx Onset Date]]&gt;0,LL[[#This Row],[Sx Onset Date]],"")</f>
        <v/>
      </c>
      <c r="BD163" s="2" t="str">
        <f>IF(LL[[#This Row],[Lab-confirmed?]]="Y",LL[[#This Row],[Test Date]],"")</f>
        <v/>
      </c>
      <c r="BE163" s="2" t="str">
        <f>IF(LL[[#This Row],[Lab-confirmed?]]="Y",LL[[#This Row],[Test Date 2]],"")</f>
        <v/>
      </c>
      <c r="BF163" s="139" t="str">
        <f>IF(LL[[#This Row],[Date Reported to Public Health]]&gt;0,LL[[#This Row],[Date Reported to Public Health]],"")</f>
        <v/>
      </c>
      <c r="BG163" s="13" t="str">
        <f t="shared" si="2"/>
        <v/>
      </c>
    </row>
    <row r="164" spans="1:59" x14ac:dyDescent="0.3">
      <c r="A164" s="11">
        <v>160</v>
      </c>
      <c r="B164" s="12"/>
      <c r="C164" s="13"/>
      <c r="D164" s="12"/>
      <c r="E164" s="12"/>
      <c r="F164" s="12"/>
      <c r="G164" s="16"/>
      <c r="H164" s="12"/>
      <c r="I164" s="14"/>
      <c r="J164" s="137"/>
      <c r="K164" s="137"/>
      <c r="L164" s="18"/>
      <c r="M164" s="139"/>
      <c r="N164" s="140"/>
      <c r="O164" s="137"/>
      <c r="P164" s="137"/>
      <c r="Q164" s="15"/>
      <c r="R164" s="12"/>
      <c r="S164" s="12"/>
      <c r="T164" s="12"/>
      <c r="U164" s="14"/>
      <c r="V164" s="15"/>
      <c r="W164" s="12"/>
      <c r="X164" s="12"/>
      <c r="Y164" s="12"/>
      <c r="Z164" s="12"/>
      <c r="AA164" s="12"/>
      <c r="AB164" s="14"/>
      <c r="AC164" s="15"/>
      <c r="AD164" s="12"/>
      <c r="AE164" s="12"/>
      <c r="AF164" s="14"/>
      <c r="AG164" s="18"/>
      <c r="AH164" s="18"/>
      <c r="AI164" s="17"/>
      <c r="AJ164" s="181"/>
      <c r="AK164" s="13"/>
      <c r="AL164" s="181"/>
      <c r="AM164" s="175"/>
      <c r="AN164" s="192"/>
      <c r="AO164" s="13"/>
      <c r="AP164" s="181"/>
      <c r="AQ164" s="175"/>
      <c r="AR164" s="18"/>
      <c r="AS164" s="12"/>
      <c r="AT164" s="12"/>
      <c r="AU164" s="12"/>
      <c r="AV164" s="12"/>
      <c r="AW164" s="137"/>
      <c r="AX164" s="13"/>
      <c r="AY164" s="138"/>
      <c r="AZ164" s="140"/>
      <c r="BA164" s="18"/>
      <c r="BB164" s="18" t="e">
        <f>IF(#REF!&lt;&gt;0,IF(LL[[#This Row],[Date of Birth]]&lt;&gt;0,YEAR(#REF!-LL[[#This Row],[Date of Birth]])-1900,""),"")</f>
        <v>#REF!</v>
      </c>
      <c r="BC164" s="2" t="str">
        <f>IF(LL[[#This Row],[Sx Onset Date]]&gt;0,LL[[#This Row],[Sx Onset Date]],"")</f>
        <v/>
      </c>
      <c r="BD164" s="2" t="str">
        <f>IF(LL[[#This Row],[Lab-confirmed?]]="Y",LL[[#This Row],[Test Date]],"")</f>
        <v/>
      </c>
      <c r="BE164" s="2" t="str">
        <f>IF(LL[[#This Row],[Lab-confirmed?]]="Y",LL[[#This Row],[Test Date 2]],"")</f>
        <v/>
      </c>
      <c r="BF164" s="139" t="str">
        <f>IF(LL[[#This Row],[Date Reported to Public Health]]&gt;0,LL[[#This Row],[Date Reported to Public Health]],"")</f>
        <v/>
      </c>
      <c r="BG164" s="13" t="str">
        <f t="shared" si="2"/>
        <v/>
      </c>
    </row>
    <row r="165" spans="1:59" x14ac:dyDescent="0.3">
      <c r="A165" s="11">
        <v>161</v>
      </c>
      <c r="B165" s="12"/>
      <c r="C165" s="13"/>
      <c r="D165" s="12"/>
      <c r="E165" s="12"/>
      <c r="F165" s="12"/>
      <c r="G165" s="16"/>
      <c r="H165" s="12"/>
      <c r="I165" s="14"/>
      <c r="J165" s="137"/>
      <c r="K165" s="137"/>
      <c r="L165" s="18"/>
      <c r="M165" s="139"/>
      <c r="N165" s="140"/>
      <c r="O165" s="137"/>
      <c r="P165" s="137"/>
      <c r="Q165" s="15"/>
      <c r="R165" s="12"/>
      <c r="S165" s="12"/>
      <c r="T165" s="12"/>
      <c r="U165" s="14"/>
      <c r="V165" s="15"/>
      <c r="W165" s="12"/>
      <c r="X165" s="12"/>
      <c r="Y165" s="12"/>
      <c r="Z165" s="12"/>
      <c r="AA165" s="12"/>
      <c r="AB165" s="14"/>
      <c r="AC165" s="15"/>
      <c r="AD165" s="12"/>
      <c r="AE165" s="12"/>
      <c r="AF165" s="14"/>
      <c r="AG165" s="18"/>
      <c r="AH165" s="18"/>
      <c r="AI165" s="17"/>
      <c r="AJ165" s="181"/>
      <c r="AK165" s="13"/>
      <c r="AL165" s="181"/>
      <c r="AM165" s="175"/>
      <c r="AN165" s="192"/>
      <c r="AO165" s="13"/>
      <c r="AP165" s="181"/>
      <c r="AQ165" s="175"/>
      <c r="AR165" s="18"/>
      <c r="AS165" s="12"/>
      <c r="AT165" s="12"/>
      <c r="AU165" s="12"/>
      <c r="AV165" s="12"/>
      <c r="AW165" s="137"/>
      <c r="AX165" s="13"/>
      <c r="AY165" s="138"/>
      <c r="AZ165" s="140"/>
      <c r="BA165" s="18"/>
      <c r="BB165" s="18" t="e">
        <f>IF(#REF!&lt;&gt;0,IF(LL[[#This Row],[Date of Birth]]&lt;&gt;0,YEAR(#REF!-LL[[#This Row],[Date of Birth]])-1900,""),"")</f>
        <v>#REF!</v>
      </c>
      <c r="BC165" s="2" t="str">
        <f>IF(LL[[#This Row],[Sx Onset Date]]&gt;0,LL[[#This Row],[Sx Onset Date]],"")</f>
        <v/>
      </c>
      <c r="BD165" s="2" t="str">
        <f>IF(LL[[#This Row],[Lab-confirmed?]]="Y",LL[[#This Row],[Test Date]],"")</f>
        <v/>
      </c>
      <c r="BE165" s="2" t="str">
        <f>IF(LL[[#This Row],[Lab-confirmed?]]="Y",LL[[#This Row],[Test Date 2]],"")</f>
        <v/>
      </c>
      <c r="BF165" s="139" t="str">
        <f>IF(LL[[#This Row],[Date Reported to Public Health]]&gt;0,LL[[#This Row],[Date Reported to Public Health]],"")</f>
        <v/>
      </c>
      <c r="BG165" s="13" t="str">
        <f t="shared" si="2"/>
        <v/>
      </c>
    </row>
    <row r="166" spans="1:59" x14ac:dyDescent="0.3">
      <c r="A166" s="11">
        <v>162</v>
      </c>
      <c r="B166" s="12"/>
      <c r="C166" s="13"/>
      <c r="D166" s="12"/>
      <c r="E166" s="12"/>
      <c r="F166" s="12"/>
      <c r="G166" s="16"/>
      <c r="H166" s="12"/>
      <c r="I166" s="14"/>
      <c r="J166" s="137"/>
      <c r="K166" s="137"/>
      <c r="L166" s="18"/>
      <c r="M166" s="139"/>
      <c r="N166" s="140"/>
      <c r="O166" s="137"/>
      <c r="P166" s="137"/>
      <c r="Q166" s="15"/>
      <c r="R166" s="12"/>
      <c r="S166" s="12"/>
      <c r="T166" s="12"/>
      <c r="U166" s="14"/>
      <c r="V166" s="15"/>
      <c r="W166" s="12"/>
      <c r="X166" s="12"/>
      <c r="Y166" s="12"/>
      <c r="Z166" s="12"/>
      <c r="AA166" s="12"/>
      <c r="AB166" s="14"/>
      <c r="AC166" s="15"/>
      <c r="AD166" s="12"/>
      <c r="AE166" s="12"/>
      <c r="AF166" s="14"/>
      <c r="AG166" s="18"/>
      <c r="AH166" s="18"/>
      <c r="AI166" s="17"/>
      <c r="AJ166" s="181"/>
      <c r="AK166" s="13"/>
      <c r="AL166" s="181"/>
      <c r="AM166" s="175"/>
      <c r="AN166" s="192"/>
      <c r="AO166" s="13"/>
      <c r="AP166" s="181"/>
      <c r="AQ166" s="175"/>
      <c r="AR166" s="18"/>
      <c r="AS166" s="12"/>
      <c r="AT166" s="12"/>
      <c r="AU166" s="12"/>
      <c r="AV166" s="12"/>
      <c r="AW166" s="137"/>
      <c r="AX166" s="13"/>
      <c r="AY166" s="138"/>
      <c r="AZ166" s="140"/>
      <c r="BA166" s="18"/>
      <c r="BB166" s="18" t="e">
        <f>IF(#REF!&lt;&gt;0,IF(LL[[#This Row],[Date of Birth]]&lt;&gt;0,YEAR(#REF!-LL[[#This Row],[Date of Birth]])-1900,""),"")</f>
        <v>#REF!</v>
      </c>
      <c r="BC166" s="2" t="str">
        <f>IF(LL[[#This Row],[Sx Onset Date]]&gt;0,LL[[#This Row],[Sx Onset Date]],"")</f>
        <v/>
      </c>
      <c r="BD166" s="2" t="str">
        <f>IF(LL[[#This Row],[Lab-confirmed?]]="Y",LL[[#This Row],[Test Date]],"")</f>
        <v/>
      </c>
      <c r="BE166" s="2" t="str">
        <f>IF(LL[[#This Row],[Lab-confirmed?]]="Y",LL[[#This Row],[Test Date 2]],"")</f>
        <v/>
      </c>
      <c r="BF166" s="139" t="str">
        <f>IF(LL[[#This Row],[Date Reported to Public Health]]&gt;0,LL[[#This Row],[Date Reported to Public Health]],"")</f>
        <v/>
      </c>
      <c r="BG166" s="13" t="str">
        <f t="shared" si="2"/>
        <v/>
      </c>
    </row>
    <row r="167" spans="1:59" x14ac:dyDescent="0.3">
      <c r="A167" s="11">
        <v>163</v>
      </c>
      <c r="B167" s="12"/>
      <c r="C167" s="13"/>
      <c r="D167" s="12"/>
      <c r="E167" s="12"/>
      <c r="F167" s="12"/>
      <c r="G167" s="16"/>
      <c r="H167" s="12"/>
      <c r="I167" s="14"/>
      <c r="J167" s="137"/>
      <c r="K167" s="137"/>
      <c r="L167" s="18"/>
      <c r="M167" s="139"/>
      <c r="N167" s="140"/>
      <c r="O167" s="137"/>
      <c r="P167" s="137"/>
      <c r="Q167" s="15"/>
      <c r="R167" s="12"/>
      <c r="S167" s="12"/>
      <c r="T167" s="12"/>
      <c r="U167" s="14"/>
      <c r="V167" s="15"/>
      <c r="W167" s="12"/>
      <c r="X167" s="12"/>
      <c r="Y167" s="12"/>
      <c r="Z167" s="12"/>
      <c r="AA167" s="12"/>
      <c r="AB167" s="14"/>
      <c r="AC167" s="15"/>
      <c r="AD167" s="12"/>
      <c r="AE167" s="12"/>
      <c r="AF167" s="14"/>
      <c r="AG167" s="18"/>
      <c r="AH167" s="18"/>
      <c r="AI167" s="17"/>
      <c r="AJ167" s="181"/>
      <c r="AK167" s="13"/>
      <c r="AL167" s="181"/>
      <c r="AM167" s="175"/>
      <c r="AN167" s="192"/>
      <c r="AO167" s="13"/>
      <c r="AP167" s="181"/>
      <c r="AQ167" s="175"/>
      <c r="AR167" s="18"/>
      <c r="AS167" s="12"/>
      <c r="AT167" s="12"/>
      <c r="AU167" s="12"/>
      <c r="AV167" s="12"/>
      <c r="AW167" s="137"/>
      <c r="AX167" s="13"/>
      <c r="AY167" s="138"/>
      <c r="AZ167" s="140"/>
      <c r="BA167" s="18"/>
      <c r="BB167" s="18" t="e">
        <f>IF(#REF!&lt;&gt;0,IF(LL[[#This Row],[Date of Birth]]&lt;&gt;0,YEAR(#REF!-LL[[#This Row],[Date of Birth]])-1900,""),"")</f>
        <v>#REF!</v>
      </c>
      <c r="BC167" s="2" t="str">
        <f>IF(LL[[#This Row],[Sx Onset Date]]&gt;0,LL[[#This Row],[Sx Onset Date]],"")</f>
        <v/>
      </c>
      <c r="BD167" s="2" t="str">
        <f>IF(LL[[#This Row],[Lab-confirmed?]]="Y",LL[[#This Row],[Test Date]],"")</f>
        <v/>
      </c>
      <c r="BE167" s="2" t="str">
        <f>IF(LL[[#This Row],[Lab-confirmed?]]="Y",LL[[#This Row],[Test Date 2]],"")</f>
        <v/>
      </c>
      <c r="BF167" s="139" t="str">
        <f>IF(LL[[#This Row],[Date Reported to Public Health]]&gt;0,LL[[#This Row],[Date Reported to Public Health]],"")</f>
        <v/>
      </c>
      <c r="BG167" s="13" t="str">
        <f t="shared" si="2"/>
        <v/>
      </c>
    </row>
    <row r="168" spans="1:59" x14ac:dyDescent="0.3">
      <c r="A168" s="11">
        <v>164</v>
      </c>
      <c r="B168" s="12"/>
      <c r="C168" s="13"/>
      <c r="D168" s="12"/>
      <c r="E168" s="12"/>
      <c r="F168" s="12"/>
      <c r="G168" s="16"/>
      <c r="H168" s="12"/>
      <c r="I168" s="14"/>
      <c r="J168" s="137"/>
      <c r="K168" s="137"/>
      <c r="L168" s="18"/>
      <c r="M168" s="139"/>
      <c r="N168" s="140"/>
      <c r="O168" s="137"/>
      <c r="P168" s="137"/>
      <c r="Q168" s="15"/>
      <c r="R168" s="12"/>
      <c r="S168" s="12"/>
      <c r="T168" s="12"/>
      <c r="U168" s="14"/>
      <c r="V168" s="15"/>
      <c r="W168" s="12"/>
      <c r="X168" s="12"/>
      <c r="Y168" s="12"/>
      <c r="Z168" s="12"/>
      <c r="AA168" s="12"/>
      <c r="AB168" s="14"/>
      <c r="AC168" s="15"/>
      <c r="AD168" s="12"/>
      <c r="AE168" s="12"/>
      <c r="AF168" s="14"/>
      <c r="AG168" s="18"/>
      <c r="AH168" s="18"/>
      <c r="AI168" s="17"/>
      <c r="AJ168" s="181"/>
      <c r="AK168" s="13"/>
      <c r="AL168" s="181"/>
      <c r="AM168" s="175"/>
      <c r="AN168" s="192"/>
      <c r="AO168" s="13"/>
      <c r="AP168" s="181"/>
      <c r="AQ168" s="175"/>
      <c r="AR168" s="18"/>
      <c r="AS168" s="12"/>
      <c r="AT168" s="12"/>
      <c r="AU168" s="12"/>
      <c r="AV168" s="12"/>
      <c r="AW168" s="137"/>
      <c r="AX168" s="13"/>
      <c r="AY168" s="138"/>
      <c r="AZ168" s="140"/>
      <c r="BA168" s="18"/>
      <c r="BB168" s="18" t="e">
        <f>IF(#REF!&lt;&gt;0,IF(LL[[#This Row],[Date of Birth]]&lt;&gt;0,YEAR(#REF!-LL[[#This Row],[Date of Birth]])-1900,""),"")</f>
        <v>#REF!</v>
      </c>
      <c r="BC168" s="2" t="str">
        <f>IF(LL[[#This Row],[Sx Onset Date]]&gt;0,LL[[#This Row],[Sx Onset Date]],"")</f>
        <v/>
      </c>
      <c r="BD168" s="2" t="str">
        <f>IF(LL[[#This Row],[Lab-confirmed?]]="Y",LL[[#This Row],[Test Date]],"")</f>
        <v/>
      </c>
      <c r="BE168" s="2" t="str">
        <f>IF(LL[[#This Row],[Lab-confirmed?]]="Y",LL[[#This Row],[Test Date 2]],"")</f>
        <v/>
      </c>
      <c r="BF168" s="139" t="str">
        <f>IF(LL[[#This Row],[Date Reported to Public Health]]&gt;0,LL[[#This Row],[Date Reported to Public Health]],"")</f>
        <v/>
      </c>
      <c r="BG168" s="13" t="str">
        <f t="shared" si="2"/>
        <v/>
      </c>
    </row>
    <row r="169" spans="1:59" x14ac:dyDescent="0.3">
      <c r="A169" s="11">
        <v>165</v>
      </c>
      <c r="B169" s="12"/>
      <c r="C169" s="13"/>
      <c r="D169" s="12"/>
      <c r="E169" s="12"/>
      <c r="F169" s="12"/>
      <c r="G169" s="16"/>
      <c r="H169" s="12"/>
      <c r="I169" s="14"/>
      <c r="J169" s="137"/>
      <c r="K169" s="137"/>
      <c r="L169" s="18"/>
      <c r="M169" s="139"/>
      <c r="N169" s="140"/>
      <c r="O169" s="137"/>
      <c r="P169" s="137"/>
      <c r="Q169" s="15"/>
      <c r="R169" s="12"/>
      <c r="S169" s="12"/>
      <c r="T169" s="12"/>
      <c r="U169" s="14"/>
      <c r="V169" s="15"/>
      <c r="W169" s="12"/>
      <c r="X169" s="12"/>
      <c r="Y169" s="12"/>
      <c r="Z169" s="12"/>
      <c r="AA169" s="12"/>
      <c r="AB169" s="14"/>
      <c r="AC169" s="15"/>
      <c r="AD169" s="12"/>
      <c r="AE169" s="12"/>
      <c r="AF169" s="14"/>
      <c r="AG169" s="18"/>
      <c r="AH169" s="18"/>
      <c r="AI169" s="17"/>
      <c r="AJ169" s="181"/>
      <c r="AK169" s="13"/>
      <c r="AL169" s="181"/>
      <c r="AM169" s="175"/>
      <c r="AN169" s="192"/>
      <c r="AO169" s="13"/>
      <c r="AP169" s="181"/>
      <c r="AQ169" s="175"/>
      <c r="AR169" s="18"/>
      <c r="AS169" s="12"/>
      <c r="AT169" s="12"/>
      <c r="AU169" s="12"/>
      <c r="AV169" s="12"/>
      <c r="AW169" s="137"/>
      <c r="AX169" s="13"/>
      <c r="AY169" s="138"/>
      <c r="AZ169" s="140"/>
      <c r="BA169" s="18"/>
      <c r="BB169" s="18" t="e">
        <f>IF(#REF!&lt;&gt;0,IF(LL[[#This Row],[Date of Birth]]&lt;&gt;0,YEAR(#REF!-LL[[#This Row],[Date of Birth]])-1900,""),"")</f>
        <v>#REF!</v>
      </c>
      <c r="BC169" s="2" t="str">
        <f>IF(LL[[#This Row],[Sx Onset Date]]&gt;0,LL[[#This Row],[Sx Onset Date]],"")</f>
        <v/>
      </c>
      <c r="BD169" s="2" t="str">
        <f>IF(LL[[#This Row],[Lab-confirmed?]]="Y",LL[[#This Row],[Test Date]],"")</f>
        <v/>
      </c>
      <c r="BE169" s="2" t="str">
        <f>IF(LL[[#This Row],[Lab-confirmed?]]="Y",LL[[#This Row],[Test Date 2]],"")</f>
        <v/>
      </c>
      <c r="BF169" s="139" t="str">
        <f>IF(LL[[#This Row],[Date Reported to Public Health]]&gt;0,LL[[#This Row],[Date Reported to Public Health]],"")</f>
        <v/>
      </c>
      <c r="BG169" s="13" t="str">
        <f t="shared" si="2"/>
        <v/>
      </c>
    </row>
    <row r="170" spans="1:59" x14ac:dyDescent="0.3">
      <c r="A170" s="11">
        <v>166</v>
      </c>
      <c r="B170" s="12"/>
      <c r="C170" s="13"/>
      <c r="D170" s="12"/>
      <c r="E170" s="12"/>
      <c r="F170" s="12"/>
      <c r="G170" s="16"/>
      <c r="H170" s="12"/>
      <c r="I170" s="14"/>
      <c r="J170" s="137"/>
      <c r="K170" s="137"/>
      <c r="L170" s="18"/>
      <c r="M170" s="139"/>
      <c r="N170" s="140"/>
      <c r="O170" s="137"/>
      <c r="P170" s="137"/>
      <c r="Q170" s="15"/>
      <c r="R170" s="12"/>
      <c r="S170" s="12"/>
      <c r="T170" s="12"/>
      <c r="U170" s="14"/>
      <c r="V170" s="15"/>
      <c r="W170" s="12"/>
      <c r="X170" s="12"/>
      <c r="Y170" s="12"/>
      <c r="Z170" s="12"/>
      <c r="AA170" s="12"/>
      <c r="AB170" s="14"/>
      <c r="AC170" s="15"/>
      <c r="AD170" s="12"/>
      <c r="AE170" s="12"/>
      <c r="AF170" s="14"/>
      <c r="AG170" s="18"/>
      <c r="AH170" s="18"/>
      <c r="AI170" s="17"/>
      <c r="AJ170" s="181"/>
      <c r="AK170" s="13"/>
      <c r="AL170" s="181"/>
      <c r="AM170" s="175"/>
      <c r="AN170" s="192"/>
      <c r="AO170" s="13"/>
      <c r="AP170" s="181"/>
      <c r="AQ170" s="175"/>
      <c r="AR170" s="18"/>
      <c r="AS170" s="12"/>
      <c r="AT170" s="12"/>
      <c r="AU170" s="12"/>
      <c r="AV170" s="12"/>
      <c r="AW170" s="137"/>
      <c r="AX170" s="13"/>
      <c r="AY170" s="138"/>
      <c r="AZ170" s="140"/>
      <c r="BA170" s="18"/>
      <c r="BB170" s="18" t="e">
        <f>IF(#REF!&lt;&gt;0,IF(LL[[#This Row],[Date of Birth]]&lt;&gt;0,YEAR(#REF!-LL[[#This Row],[Date of Birth]])-1900,""),"")</f>
        <v>#REF!</v>
      </c>
      <c r="BC170" s="2" t="str">
        <f>IF(LL[[#This Row],[Sx Onset Date]]&gt;0,LL[[#This Row],[Sx Onset Date]],"")</f>
        <v/>
      </c>
      <c r="BD170" s="2" t="str">
        <f>IF(LL[[#This Row],[Lab-confirmed?]]="Y",LL[[#This Row],[Test Date]],"")</f>
        <v/>
      </c>
      <c r="BE170" s="2" t="str">
        <f>IF(LL[[#This Row],[Lab-confirmed?]]="Y",LL[[#This Row],[Test Date 2]],"")</f>
        <v/>
      </c>
      <c r="BF170" s="139" t="str">
        <f>IF(LL[[#This Row],[Date Reported to Public Health]]&gt;0,LL[[#This Row],[Date Reported to Public Health]],"")</f>
        <v/>
      </c>
      <c r="BG170" s="13" t="str">
        <f t="shared" si="2"/>
        <v/>
      </c>
    </row>
    <row r="171" spans="1:59" x14ac:dyDescent="0.3">
      <c r="A171" s="11">
        <v>167</v>
      </c>
      <c r="B171" s="12"/>
      <c r="C171" s="13"/>
      <c r="D171" s="12"/>
      <c r="E171" s="12"/>
      <c r="F171" s="12"/>
      <c r="G171" s="16"/>
      <c r="H171" s="12"/>
      <c r="I171" s="14"/>
      <c r="J171" s="137"/>
      <c r="K171" s="137"/>
      <c r="L171" s="18"/>
      <c r="M171" s="139"/>
      <c r="N171" s="140"/>
      <c r="O171" s="137"/>
      <c r="P171" s="137"/>
      <c r="Q171" s="15"/>
      <c r="R171" s="12"/>
      <c r="S171" s="12"/>
      <c r="T171" s="12"/>
      <c r="U171" s="14"/>
      <c r="V171" s="15"/>
      <c r="W171" s="12"/>
      <c r="X171" s="12"/>
      <c r="Y171" s="12"/>
      <c r="Z171" s="12"/>
      <c r="AA171" s="12"/>
      <c r="AB171" s="14"/>
      <c r="AC171" s="15"/>
      <c r="AD171" s="12"/>
      <c r="AE171" s="12"/>
      <c r="AF171" s="14"/>
      <c r="AG171" s="18"/>
      <c r="AH171" s="18"/>
      <c r="AI171" s="17"/>
      <c r="AJ171" s="181"/>
      <c r="AK171" s="13"/>
      <c r="AL171" s="181"/>
      <c r="AM171" s="175"/>
      <c r="AN171" s="192"/>
      <c r="AO171" s="13"/>
      <c r="AP171" s="181"/>
      <c r="AQ171" s="175"/>
      <c r="AR171" s="18"/>
      <c r="AS171" s="12"/>
      <c r="AT171" s="12"/>
      <c r="AU171" s="12"/>
      <c r="AV171" s="12"/>
      <c r="AW171" s="137"/>
      <c r="AX171" s="13"/>
      <c r="AY171" s="138"/>
      <c r="AZ171" s="140"/>
      <c r="BA171" s="18"/>
      <c r="BB171" s="18" t="e">
        <f>IF(#REF!&lt;&gt;0,IF(LL[[#This Row],[Date of Birth]]&lt;&gt;0,YEAR(#REF!-LL[[#This Row],[Date of Birth]])-1900,""),"")</f>
        <v>#REF!</v>
      </c>
      <c r="BC171" s="2" t="str">
        <f>IF(LL[[#This Row],[Sx Onset Date]]&gt;0,LL[[#This Row],[Sx Onset Date]],"")</f>
        <v/>
      </c>
      <c r="BD171" s="2" t="str">
        <f>IF(LL[[#This Row],[Lab-confirmed?]]="Y",LL[[#This Row],[Test Date]],"")</f>
        <v/>
      </c>
      <c r="BE171" s="2" t="str">
        <f>IF(LL[[#This Row],[Lab-confirmed?]]="Y",LL[[#This Row],[Test Date 2]],"")</f>
        <v/>
      </c>
      <c r="BF171" s="139" t="str">
        <f>IF(LL[[#This Row],[Date Reported to Public Health]]&gt;0,LL[[#This Row],[Date Reported to Public Health]],"")</f>
        <v/>
      </c>
      <c r="BG171" s="13" t="str">
        <f t="shared" si="2"/>
        <v/>
      </c>
    </row>
    <row r="172" spans="1:59" x14ac:dyDescent="0.3">
      <c r="A172" s="11">
        <v>168</v>
      </c>
      <c r="B172" s="12"/>
      <c r="C172" s="13"/>
      <c r="D172" s="12"/>
      <c r="E172" s="12"/>
      <c r="F172" s="12"/>
      <c r="G172" s="16"/>
      <c r="H172" s="12"/>
      <c r="I172" s="14"/>
      <c r="J172" s="137"/>
      <c r="K172" s="137"/>
      <c r="L172" s="18"/>
      <c r="M172" s="139"/>
      <c r="N172" s="140"/>
      <c r="O172" s="137"/>
      <c r="P172" s="137"/>
      <c r="Q172" s="15"/>
      <c r="R172" s="12"/>
      <c r="S172" s="12"/>
      <c r="T172" s="12"/>
      <c r="U172" s="14"/>
      <c r="V172" s="15"/>
      <c r="W172" s="12"/>
      <c r="X172" s="12"/>
      <c r="Y172" s="12"/>
      <c r="Z172" s="12"/>
      <c r="AA172" s="12"/>
      <c r="AB172" s="14"/>
      <c r="AC172" s="15"/>
      <c r="AD172" s="12"/>
      <c r="AE172" s="12"/>
      <c r="AF172" s="14"/>
      <c r="AG172" s="18"/>
      <c r="AH172" s="18"/>
      <c r="AI172" s="17"/>
      <c r="AJ172" s="181"/>
      <c r="AK172" s="13"/>
      <c r="AL172" s="181"/>
      <c r="AM172" s="175"/>
      <c r="AN172" s="192"/>
      <c r="AO172" s="13"/>
      <c r="AP172" s="181"/>
      <c r="AQ172" s="175"/>
      <c r="AR172" s="18"/>
      <c r="AS172" s="12"/>
      <c r="AT172" s="12"/>
      <c r="AU172" s="12"/>
      <c r="AV172" s="12"/>
      <c r="AW172" s="137"/>
      <c r="AX172" s="13"/>
      <c r="AY172" s="138"/>
      <c r="AZ172" s="140"/>
      <c r="BA172" s="18"/>
      <c r="BB172" s="18" t="e">
        <f>IF(#REF!&lt;&gt;0,IF(LL[[#This Row],[Date of Birth]]&lt;&gt;0,YEAR(#REF!-LL[[#This Row],[Date of Birth]])-1900,""),"")</f>
        <v>#REF!</v>
      </c>
      <c r="BC172" s="2" t="str">
        <f>IF(LL[[#This Row],[Sx Onset Date]]&gt;0,LL[[#This Row],[Sx Onset Date]],"")</f>
        <v/>
      </c>
      <c r="BD172" s="2" t="str">
        <f>IF(LL[[#This Row],[Lab-confirmed?]]="Y",LL[[#This Row],[Test Date]],"")</f>
        <v/>
      </c>
      <c r="BE172" s="2" t="str">
        <f>IF(LL[[#This Row],[Lab-confirmed?]]="Y",LL[[#This Row],[Test Date 2]],"")</f>
        <v/>
      </c>
      <c r="BF172" s="139" t="str">
        <f>IF(LL[[#This Row],[Date Reported to Public Health]]&gt;0,LL[[#This Row],[Date Reported to Public Health]],"")</f>
        <v/>
      </c>
      <c r="BG172" s="13" t="str">
        <f t="shared" si="2"/>
        <v/>
      </c>
    </row>
    <row r="173" spans="1:59" x14ac:dyDescent="0.3">
      <c r="A173" s="11">
        <v>169</v>
      </c>
      <c r="B173" s="12"/>
      <c r="C173" s="13"/>
      <c r="D173" s="12"/>
      <c r="E173" s="12"/>
      <c r="F173" s="12"/>
      <c r="G173" s="16"/>
      <c r="H173" s="12"/>
      <c r="I173" s="14"/>
      <c r="J173" s="137"/>
      <c r="K173" s="137"/>
      <c r="L173" s="18"/>
      <c r="M173" s="139"/>
      <c r="N173" s="140"/>
      <c r="O173" s="137"/>
      <c r="P173" s="137"/>
      <c r="Q173" s="15"/>
      <c r="R173" s="12"/>
      <c r="S173" s="12"/>
      <c r="T173" s="12"/>
      <c r="U173" s="14"/>
      <c r="V173" s="15"/>
      <c r="W173" s="12"/>
      <c r="X173" s="12"/>
      <c r="Y173" s="12"/>
      <c r="Z173" s="12"/>
      <c r="AA173" s="12"/>
      <c r="AB173" s="14"/>
      <c r="AC173" s="15"/>
      <c r="AD173" s="12"/>
      <c r="AE173" s="12"/>
      <c r="AF173" s="14"/>
      <c r="AG173" s="18"/>
      <c r="AH173" s="18"/>
      <c r="AI173" s="17"/>
      <c r="AJ173" s="181"/>
      <c r="AK173" s="13"/>
      <c r="AL173" s="181"/>
      <c r="AM173" s="175"/>
      <c r="AN173" s="192"/>
      <c r="AO173" s="13"/>
      <c r="AP173" s="181"/>
      <c r="AQ173" s="175"/>
      <c r="AR173" s="18"/>
      <c r="AS173" s="12"/>
      <c r="AT173" s="12"/>
      <c r="AU173" s="12"/>
      <c r="AV173" s="12"/>
      <c r="AW173" s="137"/>
      <c r="AX173" s="13"/>
      <c r="AY173" s="138"/>
      <c r="AZ173" s="140"/>
      <c r="BA173" s="18"/>
      <c r="BB173" s="18" t="e">
        <f>IF(#REF!&lt;&gt;0,IF(LL[[#This Row],[Date of Birth]]&lt;&gt;0,YEAR(#REF!-LL[[#This Row],[Date of Birth]])-1900,""),"")</f>
        <v>#REF!</v>
      </c>
      <c r="BC173" s="2" t="str">
        <f>IF(LL[[#This Row],[Sx Onset Date]]&gt;0,LL[[#This Row],[Sx Onset Date]],"")</f>
        <v/>
      </c>
      <c r="BD173" s="2" t="str">
        <f>IF(LL[[#This Row],[Lab-confirmed?]]="Y",LL[[#This Row],[Test Date]],"")</f>
        <v/>
      </c>
      <c r="BE173" s="2" t="str">
        <f>IF(LL[[#This Row],[Lab-confirmed?]]="Y",LL[[#This Row],[Test Date 2]],"")</f>
        <v/>
      </c>
      <c r="BF173" s="139" t="str">
        <f>IF(LL[[#This Row],[Date Reported to Public Health]]&gt;0,LL[[#This Row],[Date Reported to Public Health]],"")</f>
        <v/>
      </c>
      <c r="BG173" s="13" t="str">
        <f t="shared" si="2"/>
        <v/>
      </c>
    </row>
    <row r="174" spans="1:59" x14ac:dyDescent="0.3">
      <c r="A174" s="11">
        <v>170</v>
      </c>
      <c r="B174" s="12"/>
      <c r="C174" s="13"/>
      <c r="D174" s="12"/>
      <c r="E174" s="12"/>
      <c r="F174" s="12"/>
      <c r="G174" s="16"/>
      <c r="H174" s="12"/>
      <c r="I174" s="14"/>
      <c r="J174" s="137"/>
      <c r="K174" s="137"/>
      <c r="L174" s="18"/>
      <c r="M174" s="139"/>
      <c r="N174" s="140"/>
      <c r="O174" s="137"/>
      <c r="P174" s="137"/>
      <c r="Q174" s="15"/>
      <c r="R174" s="12"/>
      <c r="S174" s="12"/>
      <c r="T174" s="12"/>
      <c r="U174" s="14"/>
      <c r="V174" s="15"/>
      <c r="W174" s="12"/>
      <c r="X174" s="12"/>
      <c r="Y174" s="12"/>
      <c r="Z174" s="12"/>
      <c r="AA174" s="12"/>
      <c r="AB174" s="14"/>
      <c r="AC174" s="15"/>
      <c r="AD174" s="12"/>
      <c r="AE174" s="12"/>
      <c r="AF174" s="14"/>
      <c r="AG174" s="18"/>
      <c r="AH174" s="18"/>
      <c r="AI174" s="17"/>
      <c r="AJ174" s="181"/>
      <c r="AK174" s="13"/>
      <c r="AL174" s="181"/>
      <c r="AM174" s="175"/>
      <c r="AN174" s="192"/>
      <c r="AO174" s="13"/>
      <c r="AP174" s="181"/>
      <c r="AQ174" s="175"/>
      <c r="AR174" s="18"/>
      <c r="AS174" s="12"/>
      <c r="AT174" s="12"/>
      <c r="AU174" s="12"/>
      <c r="AV174" s="12"/>
      <c r="AW174" s="137"/>
      <c r="AX174" s="13"/>
      <c r="AY174" s="138"/>
      <c r="AZ174" s="140"/>
      <c r="BA174" s="18"/>
      <c r="BB174" s="18" t="e">
        <f>IF(#REF!&lt;&gt;0,IF(LL[[#This Row],[Date of Birth]]&lt;&gt;0,YEAR(#REF!-LL[[#This Row],[Date of Birth]])-1900,""),"")</f>
        <v>#REF!</v>
      </c>
      <c r="BC174" s="2" t="str">
        <f>IF(LL[[#This Row],[Sx Onset Date]]&gt;0,LL[[#This Row],[Sx Onset Date]],"")</f>
        <v/>
      </c>
      <c r="BD174" s="2" t="str">
        <f>IF(LL[[#This Row],[Lab-confirmed?]]="Y",LL[[#This Row],[Test Date]],"")</f>
        <v/>
      </c>
      <c r="BE174" s="2" t="str">
        <f>IF(LL[[#This Row],[Lab-confirmed?]]="Y",LL[[#This Row],[Test Date 2]],"")</f>
        <v/>
      </c>
      <c r="BF174" s="139" t="str">
        <f>IF(LL[[#This Row],[Date Reported to Public Health]]&gt;0,LL[[#This Row],[Date Reported to Public Health]],"")</f>
        <v/>
      </c>
      <c r="BG174" s="13" t="str">
        <f t="shared" si="2"/>
        <v/>
      </c>
    </row>
    <row r="175" spans="1:59" x14ac:dyDescent="0.3">
      <c r="A175" s="11">
        <v>171</v>
      </c>
      <c r="B175" s="12"/>
      <c r="C175" s="13"/>
      <c r="D175" s="12"/>
      <c r="E175" s="12"/>
      <c r="F175" s="12"/>
      <c r="G175" s="16"/>
      <c r="H175" s="12"/>
      <c r="I175" s="14"/>
      <c r="J175" s="137"/>
      <c r="K175" s="137"/>
      <c r="L175" s="18"/>
      <c r="M175" s="139"/>
      <c r="N175" s="140"/>
      <c r="O175" s="137"/>
      <c r="P175" s="137"/>
      <c r="Q175" s="15"/>
      <c r="R175" s="12"/>
      <c r="S175" s="12"/>
      <c r="T175" s="12"/>
      <c r="U175" s="14"/>
      <c r="V175" s="15"/>
      <c r="W175" s="12"/>
      <c r="X175" s="12"/>
      <c r="Y175" s="12"/>
      <c r="Z175" s="12"/>
      <c r="AA175" s="12"/>
      <c r="AB175" s="14"/>
      <c r="AC175" s="15"/>
      <c r="AD175" s="12"/>
      <c r="AE175" s="12"/>
      <c r="AF175" s="14"/>
      <c r="AG175" s="18"/>
      <c r="AH175" s="18"/>
      <c r="AI175" s="17"/>
      <c r="AJ175" s="181"/>
      <c r="AK175" s="13"/>
      <c r="AL175" s="181"/>
      <c r="AM175" s="175"/>
      <c r="AN175" s="192"/>
      <c r="AO175" s="13"/>
      <c r="AP175" s="181"/>
      <c r="AQ175" s="175"/>
      <c r="AR175" s="18"/>
      <c r="AS175" s="12"/>
      <c r="AT175" s="12"/>
      <c r="AU175" s="12"/>
      <c r="AV175" s="12"/>
      <c r="AW175" s="137"/>
      <c r="AX175" s="13"/>
      <c r="AY175" s="138"/>
      <c r="AZ175" s="140"/>
      <c r="BA175" s="18"/>
      <c r="BB175" s="18" t="e">
        <f>IF(#REF!&lt;&gt;0,IF(LL[[#This Row],[Date of Birth]]&lt;&gt;0,YEAR(#REF!-LL[[#This Row],[Date of Birth]])-1900,""),"")</f>
        <v>#REF!</v>
      </c>
      <c r="BC175" s="2" t="str">
        <f>IF(LL[[#This Row],[Sx Onset Date]]&gt;0,LL[[#This Row],[Sx Onset Date]],"")</f>
        <v/>
      </c>
      <c r="BD175" s="2" t="str">
        <f>IF(LL[[#This Row],[Lab-confirmed?]]="Y",LL[[#This Row],[Test Date]],"")</f>
        <v/>
      </c>
      <c r="BE175" s="2" t="str">
        <f>IF(LL[[#This Row],[Lab-confirmed?]]="Y",LL[[#This Row],[Test Date 2]],"")</f>
        <v/>
      </c>
      <c r="BF175" s="139" t="str">
        <f>IF(LL[[#This Row],[Date Reported to Public Health]]&gt;0,LL[[#This Row],[Date Reported to Public Health]],"")</f>
        <v/>
      </c>
      <c r="BG175" s="13" t="str">
        <f t="shared" si="2"/>
        <v/>
      </c>
    </row>
    <row r="176" spans="1:59" x14ac:dyDescent="0.3">
      <c r="A176" s="11">
        <v>172</v>
      </c>
      <c r="B176" s="12"/>
      <c r="C176" s="13"/>
      <c r="D176" s="12"/>
      <c r="E176" s="12"/>
      <c r="F176" s="12"/>
      <c r="G176" s="16"/>
      <c r="H176" s="12"/>
      <c r="I176" s="14"/>
      <c r="J176" s="137"/>
      <c r="K176" s="137"/>
      <c r="L176" s="18"/>
      <c r="M176" s="139"/>
      <c r="N176" s="140"/>
      <c r="O176" s="137"/>
      <c r="P176" s="137"/>
      <c r="Q176" s="15"/>
      <c r="R176" s="12"/>
      <c r="S176" s="12"/>
      <c r="T176" s="12"/>
      <c r="U176" s="14"/>
      <c r="V176" s="15"/>
      <c r="W176" s="12"/>
      <c r="X176" s="12"/>
      <c r="Y176" s="12"/>
      <c r="Z176" s="12"/>
      <c r="AA176" s="12"/>
      <c r="AB176" s="14"/>
      <c r="AC176" s="15"/>
      <c r="AD176" s="12"/>
      <c r="AE176" s="12"/>
      <c r="AF176" s="14"/>
      <c r="AG176" s="18"/>
      <c r="AH176" s="18"/>
      <c r="AI176" s="17"/>
      <c r="AJ176" s="181"/>
      <c r="AK176" s="13"/>
      <c r="AL176" s="181"/>
      <c r="AM176" s="175"/>
      <c r="AN176" s="192"/>
      <c r="AO176" s="13"/>
      <c r="AP176" s="181"/>
      <c r="AQ176" s="175"/>
      <c r="AR176" s="18"/>
      <c r="AS176" s="12"/>
      <c r="AT176" s="12"/>
      <c r="AU176" s="12"/>
      <c r="AV176" s="12"/>
      <c r="AW176" s="137"/>
      <c r="AX176" s="13"/>
      <c r="AY176" s="138"/>
      <c r="AZ176" s="140"/>
      <c r="BA176" s="18"/>
      <c r="BB176" s="18" t="e">
        <f>IF(#REF!&lt;&gt;0,IF(LL[[#This Row],[Date of Birth]]&lt;&gt;0,YEAR(#REF!-LL[[#This Row],[Date of Birth]])-1900,""),"")</f>
        <v>#REF!</v>
      </c>
      <c r="BC176" s="2" t="str">
        <f>IF(LL[[#This Row],[Sx Onset Date]]&gt;0,LL[[#This Row],[Sx Onset Date]],"")</f>
        <v/>
      </c>
      <c r="BD176" s="2" t="str">
        <f>IF(LL[[#This Row],[Lab-confirmed?]]="Y",LL[[#This Row],[Test Date]],"")</f>
        <v/>
      </c>
      <c r="BE176" s="2" t="str">
        <f>IF(LL[[#This Row],[Lab-confirmed?]]="Y",LL[[#This Row],[Test Date 2]],"")</f>
        <v/>
      </c>
      <c r="BF176" s="139" t="str">
        <f>IF(LL[[#This Row],[Date Reported to Public Health]]&gt;0,LL[[#This Row],[Date Reported to Public Health]],"")</f>
        <v/>
      </c>
      <c r="BG176" s="13" t="str">
        <f t="shared" si="2"/>
        <v/>
      </c>
    </row>
    <row r="177" spans="1:59" x14ac:dyDescent="0.3">
      <c r="A177" s="11">
        <v>173</v>
      </c>
      <c r="B177" s="12"/>
      <c r="C177" s="13"/>
      <c r="D177" s="12"/>
      <c r="E177" s="12"/>
      <c r="F177" s="12"/>
      <c r="G177" s="16"/>
      <c r="H177" s="12"/>
      <c r="I177" s="14"/>
      <c r="J177" s="137"/>
      <c r="K177" s="137"/>
      <c r="L177" s="18"/>
      <c r="M177" s="139"/>
      <c r="N177" s="140"/>
      <c r="O177" s="137"/>
      <c r="P177" s="137"/>
      <c r="Q177" s="15"/>
      <c r="R177" s="12"/>
      <c r="S177" s="12"/>
      <c r="T177" s="12"/>
      <c r="U177" s="14"/>
      <c r="V177" s="15"/>
      <c r="W177" s="12"/>
      <c r="X177" s="12"/>
      <c r="Y177" s="12"/>
      <c r="Z177" s="12"/>
      <c r="AA177" s="12"/>
      <c r="AB177" s="14"/>
      <c r="AC177" s="15"/>
      <c r="AD177" s="12"/>
      <c r="AE177" s="12"/>
      <c r="AF177" s="14"/>
      <c r="AG177" s="18"/>
      <c r="AH177" s="18"/>
      <c r="AI177" s="17"/>
      <c r="AJ177" s="181"/>
      <c r="AK177" s="13"/>
      <c r="AL177" s="181"/>
      <c r="AM177" s="175"/>
      <c r="AN177" s="192"/>
      <c r="AO177" s="13"/>
      <c r="AP177" s="181"/>
      <c r="AQ177" s="175"/>
      <c r="AR177" s="18"/>
      <c r="AS177" s="12"/>
      <c r="AT177" s="12"/>
      <c r="AU177" s="12"/>
      <c r="AV177" s="12"/>
      <c r="AW177" s="137"/>
      <c r="AX177" s="13"/>
      <c r="AY177" s="138"/>
      <c r="AZ177" s="140"/>
      <c r="BA177" s="18"/>
      <c r="BB177" s="18" t="e">
        <f>IF(#REF!&lt;&gt;0,IF(LL[[#This Row],[Date of Birth]]&lt;&gt;0,YEAR(#REF!-LL[[#This Row],[Date of Birth]])-1900,""),"")</f>
        <v>#REF!</v>
      </c>
      <c r="BC177" s="2" t="str">
        <f>IF(LL[[#This Row],[Sx Onset Date]]&gt;0,LL[[#This Row],[Sx Onset Date]],"")</f>
        <v/>
      </c>
      <c r="BD177" s="2" t="str">
        <f>IF(LL[[#This Row],[Lab-confirmed?]]="Y",LL[[#This Row],[Test Date]],"")</f>
        <v/>
      </c>
      <c r="BE177" s="2" t="str">
        <f>IF(LL[[#This Row],[Lab-confirmed?]]="Y",LL[[#This Row],[Test Date 2]],"")</f>
        <v/>
      </c>
      <c r="BF177" s="139" t="str">
        <f>IF(LL[[#This Row],[Date Reported to Public Health]]&gt;0,LL[[#This Row],[Date Reported to Public Health]],"")</f>
        <v/>
      </c>
      <c r="BG177" s="13" t="str">
        <f t="shared" si="2"/>
        <v/>
      </c>
    </row>
    <row r="178" spans="1:59" x14ac:dyDescent="0.3">
      <c r="A178" s="11">
        <v>174</v>
      </c>
      <c r="B178" s="12"/>
      <c r="C178" s="13"/>
      <c r="D178" s="12"/>
      <c r="E178" s="12"/>
      <c r="F178" s="12"/>
      <c r="G178" s="16"/>
      <c r="H178" s="12"/>
      <c r="I178" s="14"/>
      <c r="J178" s="137"/>
      <c r="K178" s="137"/>
      <c r="L178" s="18"/>
      <c r="M178" s="139"/>
      <c r="N178" s="140"/>
      <c r="O178" s="137"/>
      <c r="P178" s="137"/>
      <c r="Q178" s="15"/>
      <c r="R178" s="12"/>
      <c r="S178" s="12"/>
      <c r="T178" s="12"/>
      <c r="U178" s="14"/>
      <c r="V178" s="15"/>
      <c r="W178" s="12"/>
      <c r="X178" s="12"/>
      <c r="Y178" s="12"/>
      <c r="Z178" s="12"/>
      <c r="AA178" s="12"/>
      <c r="AB178" s="14"/>
      <c r="AC178" s="15"/>
      <c r="AD178" s="12"/>
      <c r="AE178" s="12"/>
      <c r="AF178" s="14"/>
      <c r="AG178" s="18"/>
      <c r="AH178" s="18"/>
      <c r="AI178" s="17"/>
      <c r="AJ178" s="181"/>
      <c r="AK178" s="13"/>
      <c r="AL178" s="181"/>
      <c r="AM178" s="175"/>
      <c r="AN178" s="192"/>
      <c r="AO178" s="13"/>
      <c r="AP178" s="181"/>
      <c r="AQ178" s="175"/>
      <c r="AR178" s="18"/>
      <c r="AS178" s="12"/>
      <c r="AT178" s="12"/>
      <c r="AU178" s="12"/>
      <c r="AV178" s="12"/>
      <c r="AW178" s="137"/>
      <c r="AX178" s="13"/>
      <c r="AY178" s="138"/>
      <c r="AZ178" s="140"/>
      <c r="BA178" s="18"/>
      <c r="BB178" s="18" t="e">
        <f>IF(#REF!&lt;&gt;0,IF(LL[[#This Row],[Date of Birth]]&lt;&gt;0,YEAR(#REF!-LL[[#This Row],[Date of Birth]])-1900,""),"")</f>
        <v>#REF!</v>
      </c>
      <c r="BC178" s="2" t="str">
        <f>IF(LL[[#This Row],[Sx Onset Date]]&gt;0,LL[[#This Row],[Sx Onset Date]],"")</f>
        <v/>
      </c>
      <c r="BD178" s="2" t="str">
        <f>IF(LL[[#This Row],[Lab-confirmed?]]="Y",LL[[#This Row],[Test Date]],"")</f>
        <v/>
      </c>
      <c r="BE178" s="2" t="str">
        <f>IF(LL[[#This Row],[Lab-confirmed?]]="Y",LL[[#This Row],[Test Date 2]],"")</f>
        <v/>
      </c>
      <c r="BF178" s="139" t="str">
        <f>IF(LL[[#This Row],[Date Reported to Public Health]]&gt;0,LL[[#This Row],[Date Reported to Public Health]],"")</f>
        <v/>
      </c>
      <c r="BG178" s="13" t="str">
        <f t="shared" si="2"/>
        <v/>
      </c>
    </row>
    <row r="179" spans="1:59" x14ac:dyDescent="0.3">
      <c r="A179" s="11">
        <v>175</v>
      </c>
      <c r="B179" s="12"/>
      <c r="C179" s="13"/>
      <c r="D179" s="12"/>
      <c r="E179" s="12"/>
      <c r="F179" s="12"/>
      <c r="G179" s="16"/>
      <c r="H179" s="12"/>
      <c r="I179" s="14"/>
      <c r="J179" s="137"/>
      <c r="K179" s="137"/>
      <c r="L179" s="18"/>
      <c r="M179" s="139"/>
      <c r="N179" s="140"/>
      <c r="O179" s="137"/>
      <c r="P179" s="137"/>
      <c r="Q179" s="15"/>
      <c r="R179" s="12"/>
      <c r="S179" s="12"/>
      <c r="T179" s="12"/>
      <c r="U179" s="14"/>
      <c r="V179" s="15"/>
      <c r="W179" s="12"/>
      <c r="X179" s="12"/>
      <c r="Y179" s="12"/>
      <c r="Z179" s="12"/>
      <c r="AA179" s="12"/>
      <c r="AB179" s="14"/>
      <c r="AC179" s="15"/>
      <c r="AD179" s="12"/>
      <c r="AE179" s="12"/>
      <c r="AF179" s="14"/>
      <c r="AG179" s="18"/>
      <c r="AH179" s="18"/>
      <c r="AI179" s="17"/>
      <c r="AJ179" s="181"/>
      <c r="AK179" s="13"/>
      <c r="AL179" s="181"/>
      <c r="AM179" s="175"/>
      <c r="AN179" s="192"/>
      <c r="AO179" s="13"/>
      <c r="AP179" s="181"/>
      <c r="AQ179" s="175"/>
      <c r="AR179" s="18"/>
      <c r="AS179" s="12"/>
      <c r="AT179" s="12"/>
      <c r="AU179" s="12"/>
      <c r="AV179" s="12"/>
      <c r="AW179" s="137"/>
      <c r="AX179" s="13"/>
      <c r="AY179" s="138"/>
      <c r="AZ179" s="140"/>
      <c r="BA179" s="18"/>
      <c r="BB179" s="18" t="e">
        <f>IF(#REF!&lt;&gt;0,IF(LL[[#This Row],[Date of Birth]]&lt;&gt;0,YEAR(#REF!-LL[[#This Row],[Date of Birth]])-1900,""),"")</f>
        <v>#REF!</v>
      </c>
      <c r="BC179" s="2" t="str">
        <f>IF(LL[[#This Row],[Sx Onset Date]]&gt;0,LL[[#This Row],[Sx Onset Date]],"")</f>
        <v/>
      </c>
      <c r="BD179" s="2" t="str">
        <f>IF(LL[[#This Row],[Lab-confirmed?]]="Y",LL[[#This Row],[Test Date]],"")</f>
        <v/>
      </c>
      <c r="BE179" s="2" t="str">
        <f>IF(LL[[#This Row],[Lab-confirmed?]]="Y",LL[[#This Row],[Test Date 2]],"")</f>
        <v/>
      </c>
      <c r="BF179" s="139" t="str">
        <f>IF(LL[[#This Row],[Date Reported to Public Health]]&gt;0,LL[[#This Row],[Date Reported to Public Health]],"")</f>
        <v/>
      </c>
      <c r="BG179" s="13" t="str">
        <f t="shared" si="2"/>
        <v/>
      </c>
    </row>
    <row r="180" spans="1:59" x14ac:dyDescent="0.3">
      <c r="A180" s="11">
        <v>176</v>
      </c>
      <c r="B180" s="12"/>
      <c r="C180" s="13"/>
      <c r="D180" s="12"/>
      <c r="E180" s="12"/>
      <c r="F180" s="12"/>
      <c r="G180" s="16"/>
      <c r="H180" s="12"/>
      <c r="I180" s="14"/>
      <c r="J180" s="137"/>
      <c r="K180" s="137"/>
      <c r="L180" s="18"/>
      <c r="M180" s="139"/>
      <c r="N180" s="140"/>
      <c r="O180" s="137"/>
      <c r="P180" s="137"/>
      <c r="Q180" s="15"/>
      <c r="R180" s="12"/>
      <c r="S180" s="12"/>
      <c r="T180" s="12"/>
      <c r="U180" s="14"/>
      <c r="V180" s="15"/>
      <c r="W180" s="12"/>
      <c r="X180" s="12"/>
      <c r="Y180" s="12"/>
      <c r="Z180" s="12"/>
      <c r="AA180" s="12"/>
      <c r="AB180" s="14"/>
      <c r="AC180" s="15"/>
      <c r="AD180" s="12"/>
      <c r="AE180" s="12"/>
      <c r="AF180" s="14"/>
      <c r="AG180" s="18"/>
      <c r="AH180" s="18"/>
      <c r="AI180" s="17"/>
      <c r="AJ180" s="181"/>
      <c r="AK180" s="13"/>
      <c r="AL180" s="181"/>
      <c r="AM180" s="175"/>
      <c r="AN180" s="192"/>
      <c r="AO180" s="13"/>
      <c r="AP180" s="181"/>
      <c r="AQ180" s="175"/>
      <c r="AR180" s="18"/>
      <c r="AS180" s="12"/>
      <c r="AT180" s="12"/>
      <c r="AU180" s="12"/>
      <c r="AV180" s="12"/>
      <c r="AW180" s="137"/>
      <c r="AX180" s="13"/>
      <c r="AY180" s="138"/>
      <c r="AZ180" s="140"/>
      <c r="BA180" s="18"/>
      <c r="BB180" s="18" t="e">
        <f>IF(#REF!&lt;&gt;0,IF(LL[[#This Row],[Date of Birth]]&lt;&gt;0,YEAR(#REF!-LL[[#This Row],[Date of Birth]])-1900,""),"")</f>
        <v>#REF!</v>
      </c>
      <c r="BC180" s="2" t="str">
        <f>IF(LL[[#This Row],[Sx Onset Date]]&gt;0,LL[[#This Row],[Sx Onset Date]],"")</f>
        <v/>
      </c>
      <c r="BD180" s="2" t="str">
        <f>IF(LL[[#This Row],[Lab-confirmed?]]="Y",LL[[#This Row],[Test Date]],"")</f>
        <v/>
      </c>
      <c r="BE180" s="2" t="str">
        <f>IF(LL[[#This Row],[Lab-confirmed?]]="Y",LL[[#This Row],[Test Date 2]],"")</f>
        <v/>
      </c>
      <c r="BF180" s="139" t="str">
        <f>IF(LL[[#This Row],[Date Reported to Public Health]]&gt;0,LL[[#This Row],[Date Reported to Public Health]],"")</f>
        <v/>
      </c>
      <c r="BG180" s="13" t="str">
        <f t="shared" si="2"/>
        <v/>
      </c>
    </row>
    <row r="181" spans="1:59" x14ac:dyDescent="0.3">
      <c r="A181" s="11">
        <v>177</v>
      </c>
      <c r="B181" s="12"/>
      <c r="C181" s="13"/>
      <c r="D181" s="12"/>
      <c r="E181" s="12"/>
      <c r="F181" s="12"/>
      <c r="G181" s="16"/>
      <c r="H181" s="12"/>
      <c r="I181" s="14"/>
      <c r="J181" s="137"/>
      <c r="K181" s="137"/>
      <c r="L181" s="18"/>
      <c r="M181" s="139"/>
      <c r="N181" s="140"/>
      <c r="O181" s="137"/>
      <c r="P181" s="137"/>
      <c r="Q181" s="15"/>
      <c r="R181" s="12"/>
      <c r="S181" s="12"/>
      <c r="T181" s="12"/>
      <c r="U181" s="14"/>
      <c r="V181" s="15"/>
      <c r="W181" s="12"/>
      <c r="X181" s="12"/>
      <c r="Y181" s="12"/>
      <c r="Z181" s="12"/>
      <c r="AA181" s="12"/>
      <c r="AB181" s="14"/>
      <c r="AC181" s="15"/>
      <c r="AD181" s="12"/>
      <c r="AE181" s="12"/>
      <c r="AF181" s="14"/>
      <c r="AG181" s="18"/>
      <c r="AH181" s="18"/>
      <c r="AI181" s="17"/>
      <c r="AJ181" s="181"/>
      <c r="AK181" s="13"/>
      <c r="AL181" s="181"/>
      <c r="AM181" s="175"/>
      <c r="AN181" s="192"/>
      <c r="AO181" s="13"/>
      <c r="AP181" s="181"/>
      <c r="AQ181" s="175"/>
      <c r="AR181" s="18"/>
      <c r="AS181" s="12"/>
      <c r="AT181" s="12"/>
      <c r="AU181" s="12"/>
      <c r="AV181" s="12"/>
      <c r="AW181" s="137"/>
      <c r="AX181" s="13"/>
      <c r="AY181" s="138"/>
      <c r="AZ181" s="140"/>
      <c r="BA181" s="18"/>
      <c r="BB181" s="18" t="e">
        <f>IF(#REF!&lt;&gt;0,IF(LL[[#This Row],[Date of Birth]]&lt;&gt;0,YEAR(#REF!-LL[[#This Row],[Date of Birth]])-1900,""),"")</f>
        <v>#REF!</v>
      </c>
      <c r="BC181" s="2" t="str">
        <f>IF(LL[[#This Row],[Sx Onset Date]]&gt;0,LL[[#This Row],[Sx Onset Date]],"")</f>
        <v/>
      </c>
      <c r="BD181" s="2" t="str">
        <f>IF(LL[[#This Row],[Lab-confirmed?]]="Y",LL[[#This Row],[Test Date]],"")</f>
        <v/>
      </c>
      <c r="BE181" s="2" t="str">
        <f>IF(LL[[#This Row],[Lab-confirmed?]]="Y",LL[[#This Row],[Test Date 2]],"")</f>
        <v/>
      </c>
      <c r="BF181" s="139" t="str">
        <f>IF(LL[[#This Row],[Date Reported to Public Health]]&gt;0,LL[[#This Row],[Date Reported to Public Health]],"")</f>
        <v/>
      </c>
      <c r="BG181" s="13" t="str">
        <f t="shared" si="2"/>
        <v/>
      </c>
    </row>
    <row r="182" spans="1:59" x14ac:dyDescent="0.3">
      <c r="A182" s="11">
        <v>178</v>
      </c>
      <c r="B182" s="12"/>
      <c r="C182" s="13"/>
      <c r="D182" s="12"/>
      <c r="E182" s="12"/>
      <c r="F182" s="12"/>
      <c r="G182" s="16"/>
      <c r="H182" s="12"/>
      <c r="I182" s="14"/>
      <c r="J182" s="137"/>
      <c r="K182" s="137"/>
      <c r="L182" s="18"/>
      <c r="M182" s="139"/>
      <c r="N182" s="140"/>
      <c r="O182" s="137"/>
      <c r="P182" s="137"/>
      <c r="Q182" s="15"/>
      <c r="R182" s="12"/>
      <c r="S182" s="12"/>
      <c r="T182" s="12"/>
      <c r="U182" s="14"/>
      <c r="V182" s="15"/>
      <c r="W182" s="12"/>
      <c r="X182" s="12"/>
      <c r="Y182" s="12"/>
      <c r="Z182" s="12"/>
      <c r="AA182" s="12"/>
      <c r="AB182" s="14"/>
      <c r="AC182" s="15"/>
      <c r="AD182" s="12"/>
      <c r="AE182" s="12"/>
      <c r="AF182" s="14"/>
      <c r="AG182" s="18"/>
      <c r="AH182" s="18"/>
      <c r="AI182" s="17"/>
      <c r="AJ182" s="181"/>
      <c r="AK182" s="13"/>
      <c r="AL182" s="181"/>
      <c r="AM182" s="175"/>
      <c r="AN182" s="192"/>
      <c r="AO182" s="13"/>
      <c r="AP182" s="181"/>
      <c r="AQ182" s="175"/>
      <c r="AR182" s="18"/>
      <c r="AS182" s="12"/>
      <c r="AT182" s="12"/>
      <c r="AU182" s="12"/>
      <c r="AV182" s="12"/>
      <c r="AW182" s="137"/>
      <c r="AX182" s="13"/>
      <c r="AY182" s="138"/>
      <c r="AZ182" s="140"/>
      <c r="BA182" s="18"/>
      <c r="BB182" s="18" t="e">
        <f>IF(#REF!&lt;&gt;0,IF(LL[[#This Row],[Date of Birth]]&lt;&gt;0,YEAR(#REF!-LL[[#This Row],[Date of Birth]])-1900,""),"")</f>
        <v>#REF!</v>
      </c>
      <c r="BC182" s="2" t="str">
        <f>IF(LL[[#This Row],[Sx Onset Date]]&gt;0,LL[[#This Row],[Sx Onset Date]],"")</f>
        <v/>
      </c>
      <c r="BD182" s="2" t="str">
        <f>IF(LL[[#This Row],[Lab-confirmed?]]="Y",LL[[#This Row],[Test Date]],"")</f>
        <v/>
      </c>
      <c r="BE182" s="2" t="str">
        <f>IF(LL[[#This Row],[Lab-confirmed?]]="Y",LL[[#This Row],[Test Date 2]],"")</f>
        <v/>
      </c>
      <c r="BF182" s="139" t="str">
        <f>IF(LL[[#This Row],[Date Reported to Public Health]]&gt;0,LL[[#This Row],[Date Reported to Public Health]],"")</f>
        <v/>
      </c>
      <c r="BG182" s="13" t="str">
        <f t="shared" si="2"/>
        <v/>
      </c>
    </row>
    <row r="183" spans="1:59" x14ac:dyDescent="0.3">
      <c r="A183" s="11">
        <v>179</v>
      </c>
      <c r="B183" s="12"/>
      <c r="C183" s="13"/>
      <c r="D183" s="12"/>
      <c r="E183" s="12"/>
      <c r="F183" s="12"/>
      <c r="G183" s="16"/>
      <c r="H183" s="12"/>
      <c r="I183" s="14"/>
      <c r="J183" s="137"/>
      <c r="K183" s="137"/>
      <c r="L183" s="18"/>
      <c r="M183" s="139"/>
      <c r="N183" s="140"/>
      <c r="O183" s="137"/>
      <c r="P183" s="137"/>
      <c r="Q183" s="15"/>
      <c r="R183" s="12"/>
      <c r="S183" s="12"/>
      <c r="T183" s="12"/>
      <c r="U183" s="14"/>
      <c r="V183" s="15"/>
      <c r="W183" s="12"/>
      <c r="X183" s="12"/>
      <c r="Y183" s="12"/>
      <c r="Z183" s="12"/>
      <c r="AA183" s="12"/>
      <c r="AB183" s="14"/>
      <c r="AC183" s="15"/>
      <c r="AD183" s="12"/>
      <c r="AE183" s="12"/>
      <c r="AF183" s="14"/>
      <c r="AG183" s="18"/>
      <c r="AH183" s="18"/>
      <c r="AI183" s="17"/>
      <c r="AJ183" s="181"/>
      <c r="AK183" s="13"/>
      <c r="AL183" s="181"/>
      <c r="AM183" s="175"/>
      <c r="AN183" s="192"/>
      <c r="AO183" s="13"/>
      <c r="AP183" s="181"/>
      <c r="AQ183" s="175"/>
      <c r="AR183" s="18"/>
      <c r="AS183" s="12"/>
      <c r="AT183" s="12"/>
      <c r="AU183" s="12"/>
      <c r="AV183" s="12"/>
      <c r="AW183" s="137"/>
      <c r="AX183" s="13"/>
      <c r="AY183" s="138"/>
      <c r="AZ183" s="140"/>
      <c r="BA183" s="18"/>
      <c r="BB183" s="18" t="e">
        <f>IF(#REF!&lt;&gt;0,IF(LL[[#This Row],[Date of Birth]]&lt;&gt;0,YEAR(#REF!-LL[[#This Row],[Date of Birth]])-1900,""),"")</f>
        <v>#REF!</v>
      </c>
      <c r="BC183" s="2" t="str">
        <f>IF(LL[[#This Row],[Sx Onset Date]]&gt;0,LL[[#This Row],[Sx Onset Date]],"")</f>
        <v/>
      </c>
      <c r="BD183" s="2" t="str">
        <f>IF(LL[[#This Row],[Lab-confirmed?]]="Y",LL[[#This Row],[Test Date]],"")</f>
        <v/>
      </c>
      <c r="BE183" s="2" t="str">
        <f>IF(LL[[#This Row],[Lab-confirmed?]]="Y",LL[[#This Row],[Test Date 2]],"")</f>
        <v/>
      </c>
      <c r="BF183" s="139" t="str">
        <f>IF(LL[[#This Row],[Date Reported to Public Health]]&gt;0,LL[[#This Row],[Date Reported to Public Health]],"")</f>
        <v/>
      </c>
      <c r="BG183" s="13" t="str">
        <f t="shared" si="2"/>
        <v/>
      </c>
    </row>
    <row r="184" spans="1:59" x14ac:dyDescent="0.3">
      <c r="A184" s="11">
        <v>180</v>
      </c>
      <c r="B184" s="12"/>
      <c r="C184" s="13"/>
      <c r="D184" s="12"/>
      <c r="E184" s="12"/>
      <c r="F184" s="12"/>
      <c r="G184" s="16"/>
      <c r="H184" s="12"/>
      <c r="I184" s="14"/>
      <c r="J184" s="137"/>
      <c r="K184" s="137"/>
      <c r="L184" s="18"/>
      <c r="M184" s="139"/>
      <c r="N184" s="140"/>
      <c r="O184" s="137"/>
      <c r="P184" s="137"/>
      <c r="Q184" s="15"/>
      <c r="R184" s="12"/>
      <c r="S184" s="12"/>
      <c r="T184" s="12"/>
      <c r="U184" s="14"/>
      <c r="V184" s="15"/>
      <c r="W184" s="12"/>
      <c r="X184" s="12"/>
      <c r="Y184" s="12"/>
      <c r="Z184" s="12"/>
      <c r="AA184" s="12"/>
      <c r="AB184" s="14"/>
      <c r="AC184" s="15"/>
      <c r="AD184" s="12"/>
      <c r="AE184" s="12"/>
      <c r="AF184" s="14"/>
      <c r="AG184" s="18"/>
      <c r="AH184" s="18"/>
      <c r="AI184" s="17"/>
      <c r="AJ184" s="181"/>
      <c r="AK184" s="13"/>
      <c r="AL184" s="181"/>
      <c r="AM184" s="175"/>
      <c r="AN184" s="192"/>
      <c r="AO184" s="13"/>
      <c r="AP184" s="181"/>
      <c r="AQ184" s="175"/>
      <c r="AR184" s="18"/>
      <c r="AS184" s="12"/>
      <c r="AT184" s="12"/>
      <c r="AU184" s="12"/>
      <c r="AV184" s="12"/>
      <c r="AW184" s="137"/>
      <c r="AX184" s="13"/>
      <c r="AY184" s="138"/>
      <c r="AZ184" s="140"/>
      <c r="BA184" s="18"/>
      <c r="BB184" s="18" t="e">
        <f>IF(#REF!&lt;&gt;0,IF(LL[[#This Row],[Date of Birth]]&lt;&gt;0,YEAR(#REF!-LL[[#This Row],[Date of Birth]])-1900,""),"")</f>
        <v>#REF!</v>
      </c>
      <c r="BC184" s="2" t="str">
        <f>IF(LL[[#This Row],[Sx Onset Date]]&gt;0,LL[[#This Row],[Sx Onset Date]],"")</f>
        <v/>
      </c>
      <c r="BD184" s="2" t="str">
        <f>IF(LL[[#This Row],[Lab-confirmed?]]="Y",LL[[#This Row],[Test Date]],"")</f>
        <v/>
      </c>
      <c r="BE184" s="2" t="str">
        <f>IF(LL[[#This Row],[Lab-confirmed?]]="Y",LL[[#This Row],[Test Date 2]],"")</f>
        <v/>
      </c>
      <c r="BF184" s="139" t="str">
        <f>IF(LL[[#This Row],[Date Reported to Public Health]]&gt;0,LL[[#This Row],[Date Reported to Public Health]],"")</f>
        <v/>
      </c>
      <c r="BG184" s="13" t="str">
        <f t="shared" si="2"/>
        <v/>
      </c>
    </row>
    <row r="185" spans="1:59" x14ac:dyDescent="0.3">
      <c r="A185" s="11">
        <v>181</v>
      </c>
      <c r="B185" s="12"/>
      <c r="C185" s="13"/>
      <c r="D185" s="12"/>
      <c r="E185" s="12"/>
      <c r="F185" s="12"/>
      <c r="G185" s="16"/>
      <c r="H185" s="12"/>
      <c r="I185" s="14"/>
      <c r="J185" s="137"/>
      <c r="K185" s="137"/>
      <c r="L185" s="18"/>
      <c r="M185" s="139"/>
      <c r="N185" s="140"/>
      <c r="O185" s="137"/>
      <c r="P185" s="137"/>
      <c r="Q185" s="15"/>
      <c r="R185" s="12"/>
      <c r="S185" s="12"/>
      <c r="T185" s="12"/>
      <c r="U185" s="14"/>
      <c r="V185" s="15"/>
      <c r="W185" s="12"/>
      <c r="X185" s="12"/>
      <c r="Y185" s="12"/>
      <c r="Z185" s="12"/>
      <c r="AA185" s="12"/>
      <c r="AB185" s="14"/>
      <c r="AC185" s="15"/>
      <c r="AD185" s="12"/>
      <c r="AE185" s="12"/>
      <c r="AF185" s="14"/>
      <c r="AG185" s="18"/>
      <c r="AH185" s="18"/>
      <c r="AI185" s="17"/>
      <c r="AJ185" s="181"/>
      <c r="AK185" s="13"/>
      <c r="AL185" s="181"/>
      <c r="AM185" s="175"/>
      <c r="AN185" s="192"/>
      <c r="AO185" s="13"/>
      <c r="AP185" s="181"/>
      <c r="AQ185" s="175"/>
      <c r="AR185" s="18"/>
      <c r="AS185" s="12"/>
      <c r="AT185" s="12"/>
      <c r="AU185" s="12"/>
      <c r="AV185" s="12"/>
      <c r="AW185" s="137"/>
      <c r="AX185" s="13"/>
      <c r="AY185" s="138"/>
      <c r="AZ185" s="140"/>
      <c r="BA185" s="18"/>
      <c r="BB185" s="18" t="e">
        <f>IF(#REF!&lt;&gt;0,IF(LL[[#This Row],[Date of Birth]]&lt;&gt;0,YEAR(#REF!-LL[[#This Row],[Date of Birth]])-1900,""),"")</f>
        <v>#REF!</v>
      </c>
      <c r="BC185" s="2" t="str">
        <f>IF(LL[[#This Row],[Sx Onset Date]]&gt;0,LL[[#This Row],[Sx Onset Date]],"")</f>
        <v/>
      </c>
      <c r="BD185" s="2" t="str">
        <f>IF(LL[[#This Row],[Lab-confirmed?]]="Y",LL[[#This Row],[Test Date]],"")</f>
        <v/>
      </c>
      <c r="BE185" s="2" t="str">
        <f>IF(LL[[#This Row],[Lab-confirmed?]]="Y",LL[[#This Row],[Test Date 2]],"")</f>
        <v/>
      </c>
      <c r="BF185" s="139" t="str">
        <f>IF(LL[[#This Row],[Date Reported to Public Health]]&gt;0,LL[[#This Row],[Date Reported to Public Health]],"")</f>
        <v/>
      </c>
      <c r="BG185" s="13" t="str">
        <f t="shared" si="2"/>
        <v/>
      </c>
    </row>
    <row r="186" spans="1:59" x14ac:dyDescent="0.3">
      <c r="A186" s="11">
        <v>182</v>
      </c>
      <c r="B186" s="12"/>
      <c r="C186" s="13"/>
      <c r="D186" s="12"/>
      <c r="E186" s="12"/>
      <c r="F186" s="12"/>
      <c r="G186" s="16"/>
      <c r="H186" s="12"/>
      <c r="I186" s="14"/>
      <c r="J186" s="137"/>
      <c r="K186" s="137"/>
      <c r="L186" s="18"/>
      <c r="M186" s="139"/>
      <c r="N186" s="140"/>
      <c r="O186" s="137"/>
      <c r="P186" s="137"/>
      <c r="Q186" s="15"/>
      <c r="R186" s="12"/>
      <c r="S186" s="12"/>
      <c r="T186" s="12"/>
      <c r="U186" s="14"/>
      <c r="V186" s="15"/>
      <c r="W186" s="12"/>
      <c r="X186" s="12"/>
      <c r="Y186" s="12"/>
      <c r="Z186" s="12"/>
      <c r="AA186" s="12"/>
      <c r="AB186" s="14"/>
      <c r="AC186" s="15"/>
      <c r="AD186" s="12"/>
      <c r="AE186" s="12"/>
      <c r="AF186" s="14"/>
      <c r="AG186" s="18"/>
      <c r="AH186" s="18"/>
      <c r="AI186" s="17"/>
      <c r="AJ186" s="181"/>
      <c r="AK186" s="13"/>
      <c r="AL186" s="181"/>
      <c r="AM186" s="175"/>
      <c r="AN186" s="192"/>
      <c r="AO186" s="13"/>
      <c r="AP186" s="181"/>
      <c r="AQ186" s="175"/>
      <c r="AR186" s="18"/>
      <c r="AS186" s="12"/>
      <c r="AT186" s="12"/>
      <c r="AU186" s="12"/>
      <c r="AV186" s="12"/>
      <c r="AW186" s="137"/>
      <c r="AX186" s="13"/>
      <c r="AY186" s="138"/>
      <c r="AZ186" s="140"/>
      <c r="BA186" s="18"/>
      <c r="BB186" s="18" t="e">
        <f>IF(#REF!&lt;&gt;0,IF(LL[[#This Row],[Date of Birth]]&lt;&gt;0,YEAR(#REF!-LL[[#This Row],[Date of Birth]])-1900,""),"")</f>
        <v>#REF!</v>
      </c>
      <c r="BC186" s="2" t="str">
        <f>IF(LL[[#This Row],[Sx Onset Date]]&gt;0,LL[[#This Row],[Sx Onset Date]],"")</f>
        <v/>
      </c>
      <c r="BD186" s="2" t="str">
        <f>IF(LL[[#This Row],[Lab-confirmed?]]="Y",LL[[#This Row],[Test Date]],"")</f>
        <v/>
      </c>
      <c r="BE186" s="2" t="str">
        <f>IF(LL[[#This Row],[Lab-confirmed?]]="Y",LL[[#This Row],[Test Date 2]],"")</f>
        <v/>
      </c>
      <c r="BF186" s="139" t="str">
        <f>IF(LL[[#This Row],[Date Reported to Public Health]]&gt;0,LL[[#This Row],[Date Reported to Public Health]],"")</f>
        <v/>
      </c>
      <c r="BG186" s="13" t="str">
        <f t="shared" si="2"/>
        <v/>
      </c>
    </row>
    <row r="187" spans="1:59" x14ac:dyDescent="0.3">
      <c r="A187" s="11">
        <v>183</v>
      </c>
      <c r="B187" s="12"/>
      <c r="C187" s="13"/>
      <c r="D187" s="12"/>
      <c r="E187" s="12"/>
      <c r="F187" s="12"/>
      <c r="G187" s="16"/>
      <c r="H187" s="12"/>
      <c r="I187" s="14"/>
      <c r="J187" s="137"/>
      <c r="K187" s="137"/>
      <c r="L187" s="18"/>
      <c r="M187" s="139"/>
      <c r="N187" s="140"/>
      <c r="O187" s="137"/>
      <c r="P187" s="137"/>
      <c r="Q187" s="15"/>
      <c r="R187" s="12"/>
      <c r="S187" s="12"/>
      <c r="T187" s="12"/>
      <c r="U187" s="14"/>
      <c r="V187" s="15"/>
      <c r="W187" s="12"/>
      <c r="X187" s="12"/>
      <c r="Y187" s="12"/>
      <c r="Z187" s="12"/>
      <c r="AA187" s="12"/>
      <c r="AB187" s="14"/>
      <c r="AC187" s="15"/>
      <c r="AD187" s="12"/>
      <c r="AE187" s="12"/>
      <c r="AF187" s="14"/>
      <c r="AG187" s="18"/>
      <c r="AH187" s="18"/>
      <c r="AI187" s="17"/>
      <c r="AJ187" s="181"/>
      <c r="AK187" s="13"/>
      <c r="AL187" s="181"/>
      <c r="AM187" s="175"/>
      <c r="AN187" s="192"/>
      <c r="AO187" s="13"/>
      <c r="AP187" s="181"/>
      <c r="AQ187" s="175"/>
      <c r="AR187" s="18"/>
      <c r="AS187" s="12"/>
      <c r="AT187" s="12"/>
      <c r="AU187" s="12"/>
      <c r="AV187" s="12"/>
      <c r="AW187" s="137"/>
      <c r="AX187" s="13"/>
      <c r="AY187" s="138"/>
      <c r="AZ187" s="140"/>
      <c r="BA187" s="18"/>
      <c r="BB187" s="18" t="e">
        <f>IF(#REF!&lt;&gt;0,IF(LL[[#This Row],[Date of Birth]]&lt;&gt;0,YEAR(#REF!-LL[[#This Row],[Date of Birth]])-1900,""),"")</f>
        <v>#REF!</v>
      </c>
      <c r="BC187" s="2" t="str">
        <f>IF(LL[[#This Row],[Sx Onset Date]]&gt;0,LL[[#This Row],[Sx Onset Date]],"")</f>
        <v/>
      </c>
      <c r="BD187" s="2" t="str">
        <f>IF(LL[[#This Row],[Lab-confirmed?]]="Y",LL[[#This Row],[Test Date]],"")</f>
        <v/>
      </c>
      <c r="BE187" s="2" t="str">
        <f>IF(LL[[#This Row],[Lab-confirmed?]]="Y",LL[[#This Row],[Test Date 2]],"")</f>
        <v/>
      </c>
      <c r="BF187" s="139" t="str">
        <f>IF(LL[[#This Row],[Date Reported to Public Health]]&gt;0,LL[[#This Row],[Date Reported to Public Health]],"")</f>
        <v/>
      </c>
      <c r="BG187" s="13" t="str">
        <f t="shared" si="2"/>
        <v/>
      </c>
    </row>
    <row r="188" spans="1:59" x14ac:dyDescent="0.3">
      <c r="A188" s="11">
        <v>184</v>
      </c>
      <c r="B188" s="12"/>
      <c r="C188" s="13"/>
      <c r="D188" s="12"/>
      <c r="E188" s="12"/>
      <c r="F188" s="12"/>
      <c r="G188" s="16"/>
      <c r="H188" s="12"/>
      <c r="I188" s="14"/>
      <c r="J188" s="137"/>
      <c r="K188" s="137"/>
      <c r="L188" s="18"/>
      <c r="M188" s="139"/>
      <c r="N188" s="140"/>
      <c r="O188" s="137"/>
      <c r="P188" s="137"/>
      <c r="Q188" s="15"/>
      <c r="R188" s="12"/>
      <c r="S188" s="12"/>
      <c r="T188" s="12"/>
      <c r="U188" s="14"/>
      <c r="V188" s="15"/>
      <c r="W188" s="12"/>
      <c r="X188" s="12"/>
      <c r="Y188" s="12"/>
      <c r="Z188" s="12"/>
      <c r="AA188" s="12"/>
      <c r="AB188" s="14"/>
      <c r="AC188" s="15"/>
      <c r="AD188" s="12"/>
      <c r="AE188" s="12"/>
      <c r="AF188" s="14"/>
      <c r="AG188" s="18"/>
      <c r="AH188" s="18"/>
      <c r="AI188" s="17"/>
      <c r="AJ188" s="181"/>
      <c r="AK188" s="13"/>
      <c r="AL188" s="181"/>
      <c r="AM188" s="175"/>
      <c r="AN188" s="192"/>
      <c r="AO188" s="13"/>
      <c r="AP188" s="181"/>
      <c r="AQ188" s="175"/>
      <c r="AR188" s="18"/>
      <c r="AS188" s="12"/>
      <c r="AT188" s="12"/>
      <c r="AU188" s="12"/>
      <c r="AV188" s="12"/>
      <c r="AW188" s="137"/>
      <c r="AX188" s="13"/>
      <c r="AY188" s="138"/>
      <c r="AZ188" s="140"/>
      <c r="BA188" s="18"/>
      <c r="BB188" s="18" t="e">
        <f>IF(#REF!&lt;&gt;0,IF(LL[[#This Row],[Date of Birth]]&lt;&gt;0,YEAR(#REF!-LL[[#This Row],[Date of Birth]])-1900,""),"")</f>
        <v>#REF!</v>
      </c>
      <c r="BC188" s="2" t="str">
        <f>IF(LL[[#This Row],[Sx Onset Date]]&gt;0,LL[[#This Row],[Sx Onset Date]],"")</f>
        <v/>
      </c>
      <c r="BD188" s="2" t="str">
        <f>IF(LL[[#This Row],[Lab-confirmed?]]="Y",LL[[#This Row],[Test Date]],"")</f>
        <v/>
      </c>
      <c r="BE188" s="2" t="str">
        <f>IF(LL[[#This Row],[Lab-confirmed?]]="Y",LL[[#This Row],[Test Date 2]],"")</f>
        <v/>
      </c>
      <c r="BF188" s="139" t="str">
        <f>IF(LL[[#This Row],[Date Reported to Public Health]]&gt;0,LL[[#This Row],[Date Reported to Public Health]],"")</f>
        <v/>
      </c>
      <c r="BG188" s="13" t="str">
        <f t="shared" si="2"/>
        <v/>
      </c>
    </row>
    <row r="189" spans="1:59" x14ac:dyDescent="0.3">
      <c r="A189" s="11">
        <v>185</v>
      </c>
      <c r="B189" s="12"/>
      <c r="C189" s="13"/>
      <c r="D189" s="12"/>
      <c r="E189" s="12"/>
      <c r="F189" s="12"/>
      <c r="G189" s="16"/>
      <c r="H189" s="12"/>
      <c r="I189" s="14"/>
      <c r="J189" s="137"/>
      <c r="K189" s="137"/>
      <c r="L189" s="18"/>
      <c r="M189" s="139"/>
      <c r="N189" s="140"/>
      <c r="O189" s="137"/>
      <c r="P189" s="137"/>
      <c r="Q189" s="15"/>
      <c r="R189" s="12"/>
      <c r="S189" s="12"/>
      <c r="T189" s="12"/>
      <c r="U189" s="14"/>
      <c r="V189" s="15"/>
      <c r="W189" s="12"/>
      <c r="X189" s="12"/>
      <c r="Y189" s="12"/>
      <c r="Z189" s="12"/>
      <c r="AA189" s="12"/>
      <c r="AB189" s="14"/>
      <c r="AC189" s="15"/>
      <c r="AD189" s="12"/>
      <c r="AE189" s="12"/>
      <c r="AF189" s="14"/>
      <c r="AG189" s="18"/>
      <c r="AH189" s="18"/>
      <c r="AI189" s="17"/>
      <c r="AJ189" s="181"/>
      <c r="AK189" s="13"/>
      <c r="AL189" s="181"/>
      <c r="AM189" s="175"/>
      <c r="AN189" s="192"/>
      <c r="AO189" s="13"/>
      <c r="AP189" s="181"/>
      <c r="AQ189" s="175"/>
      <c r="AR189" s="18"/>
      <c r="AS189" s="12"/>
      <c r="AT189" s="12"/>
      <c r="AU189" s="12"/>
      <c r="AV189" s="12"/>
      <c r="AW189" s="137"/>
      <c r="AX189" s="13"/>
      <c r="AY189" s="138"/>
      <c r="AZ189" s="140"/>
      <c r="BA189" s="18"/>
      <c r="BB189" s="18" t="e">
        <f>IF(#REF!&lt;&gt;0,IF(LL[[#This Row],[Date of Birth]]&lt;&gt;0,YEAR(#REF!-LL[[#This Row],[Date of Birth]])-1900,""),"")</f>
        <v>#REF!</v>
      </c>
      <c r="BC189" s="2" t="str">
        <f>IF(LL[[#This Row],[Sx Onset Date]]&gt;0,LL[[#This Row],[Sx Onset Date]],"")</f>
        <v/>
      </c>
      <c r="BD189" s="2" t="str">
        <f>IF(LL[[#This Row],[Lab-confirmed?]]="Y",LL[[#This Row],[Test Date]],"")</f>
        <v/>
      </c>
      <c r="BE189" s="2" t="str">
        <f>IF(LL[[#This Row],[Lab-confirmed?]]="Y",LL[[#This Row],[Test Date 2]],"")</f>
        <v/>
      </c>
      <c r="BF189" s="139" t="str">
        <f>IF(LL[[#This Row],[Date Reported to Public Health]]&gt;0,LL[[#This Row],[Date Reported to Public Health]],"")</f>
        <v/>
      </c>
      <c r="BG189" s="13" t="str">
        <f t="shared" si="2"/>
        <v/>
      </c>
    </row>
    <row r="190" spans="1:59" x14ac:dyDescent="0.3">
      <c r="A190" s="11">
        <v>186</v>
      </c>
      <c r="B190" s="12"/>
      <c r="C190" s="13"/>
      <c r="D190" s="12"/>
      <c r="E190" s="12"/>
      <c r="F190" s="12"/>
      <c r="G190" s="16"/>
      <c r="H190" s="12"/>
      <c r="I190" s="14"/>
      <c r="J190" s="137"/>
      <c r="K190" s="137"/>
      <c r="L190" s="18"/>
      <c r="M190" s="139"/>
      <c r="N190" s="140"/>
      <c r="O190" s="137"/>
      <c r="P190" s="137"/>
      <c r="Q190" s="15"/>
      <c r="R190" s="12"/>
      <c r="S190" s="12"/>
      <c r="T190" s="12"/>
      <c r="U190" s="14"/>
      <c r="V190" s="15"/>
      <c r="W190" s="12"/>
      <c r="X190" s="12"/>
      <c r="Y190" s="12"/>
      <c r="Z190" s="12"/>
      <c r="AA190" s="12"/>
      <c r="AB190" s="14"/>
      <c r="AC190" s="15"/>
      <c r="AD190" s="12"/>
      <c r="AE190" s="12"/>
      <c r="AF190" s="14"/>
      <c r="AG190" s="18"/>
      <c r="AH190" s="18"/>
      <c r="AI190" s="17"/>
      <c r="AJ190" s="181"/>
      <c r="AK190" s="13"/>
      <c r="AL190" s="181"/>
      <c r="AM190" s="175"/>
      <c r="AN190" s="192"/>
      <c r="AO190" s="13"/>
      <c r="AP190" s="181"/>
      <c r="AQ190" s="175"/>
      <c r="AR190" s="18"/>
      <c r="AS190" s="12"/>
      <c r="AT190" s="12"/>
      <c r="AU190" s="12"/>
      <c r="AV190" s="12"/>
      <c r="AW190" s="137"/>
      <c r="AX190" s="13"/>
      <c r="AY190" s="138"/>
      <c r="AZ190" s="140"/>
      <c r="BA190" s="18"/>
      <c r="BB190" s="18" t="e">
        <f>IF(#REF!&lt;&gt;0,IF(LL[[#This Row],[Date of Birth]]&lt;&gt;0,YEAR(#REF!-LL[[#This Row],[Date of Birth]])-1900,""),"")</f>
        <v>#REF!</v>
      </c>
      <c r="BC190" s="2" t="str">
        <f>IF(LL[[#This Row],[Sx Onset Date]]&gt;0,LL[[#This Row],[Sx Onset Date]],"")</f>
        <v/>
      </c>
      <c r="BD190" s="2" t="str">
        <f>IF(LL[[#This Row],[Lab-confirmed?]]="Y",LL[[#This Row],[Test Date]],"")</f>
        <v/>
      </c>
      <c r="BE190" s="2" t="str">
        <f>IF(LL[[#This Row],[Lab-confirmed?]]="Y",LL[[#This Row],[Test Date 2]],"")</f>
        <v/>
      </c>
      <c r="BF190" s="139" t="str">
        <f>IF(LL[[#This Row],[Date Reported to Public Health]]&gt;0,LL[[#This Row],[Date Reported to Public Health]],"")</f>
        <v/>
      </c>
      <c r="BG190" s="13" t="str">
        <f t="shared" si="2"/>
        <v/>
      </c>
    </row>
    <row r="191" spans="1:59" x14ac:dyDescent="0.3">
      <c r="A191" s="11">
        <v>187</v>
      </c>
      <c r="B191" s="12"/>
      <c r="C191" s="13"/>
      <c r="D191" s="12"/>
      <c r="E191" s="12"/>
      <c r="F191" s="12"/>
      <c r="G191" s="16"/>
      <c r="H191" s="12"/>
      <c r="I191" s="14"/>
      <c r="J191" s="137"/>
      <c r="K191" s="137"/>
      <c r="L191" s="18"/>
      <c r="M191" s="139"/>
      <c r="N191" s="140"/>
      <c r="O191" s="137"/>
      <c r="P191" s="137"/>
      <c r="Q191" s="15"/>
      <c r="R191" s="12"/>
      <c r="S191" s="12"/>
      <c r="T191" s="12"/>
      <c r="U191" s="14"/>
      <c r="V191" s="15"/>
      <c r="W191" s="12"/>
      <c r="X191" s="12"/>
      <c r="Y191" s="12"/>
      <c r="Z191" s="12"/>
      <c r="AA191" s="12"/>
      <c r="AB191" s="14"/>
      <c r="AC191" s="15"/>
      <c r="AD191" s="12"/>
      <c r="AE191" s="12"/>
      <c r="AF191" s="14"/>
      <c r="AG191" s="18"/>
      <c r="AH191" s="18"/>
      <c r="AI191" s="17"/>
      <c r="AJ191" s="181"/>
      <c r="AK191" s="13"/>
      <c r="AL191" s="181"/>
      <c r="AM191" s="175"/>
      <c r="AN191" s="192"/>
      <c r="AO191" s="13"/>
      <c r="AP191" s="181"/>
      <c r="AQ191" s="175"/>
      <c r="AR191" s="18"/>
      <c r="AS191" s="12"/>
      <c r="AT191" s="12"/>
      <c r="AU191" s="12"/>
      <c r="AV191" s="12"/>
      <c r="AW191" s="137"/>
      <c r="AX191" s="13"/>
      <c r="AY191" s="138"/>
      <c r="AZ191" s="140"/>
      <c r="BA191" s="18"/>
      <c r="BB191" s="18" t="e">
        <f>IF(#REF!&lt;&gt;0,IF(LL[[#This Row],[Date of Birth]]&lt;&gt;0,YEAR(#REF!-LL[[#This Row],[Date of Birth]])-1900,""),"")</f>
        <v>#REF!</v>
      </c>
      <c r="BC191" s="2" t="str">
        <f>IF(LL[[#This Row],[Sx Onset Date]]&gt;0,LL[[#This Row],[Sx Onset Date]],"")</f>
        <v/>
      </c>
      <c r="BD191" s="2" t="str">
        <f>IF(LL[[#This Row],[Lab-confirmed?]]="Y",LL[[#This Row],[Test Date]],"")</f>
        <v/>
      </c>
      <c r="BE191" s="2" t="str">
        <f>IF(LL[[#This Row],[Lab-confirmed?]]="Y",LL[[#This Row],[Test Date 2]],"")</f>
        <v/>
      </c>
      <c r="BF191" s="139" t="str">
        <f>IF(LL[[#This Row],[Date Reported to Public Health]]&gt;0,LL[[#This Row],[Date Reported to Public Health]],"")</f>
        <v/>
      </c>
      <c r="BG191" s="13" t="str">
        <f t="shared" si="2"/>
        <v/>
      </c>
    </row>
    <row r="192" spans="1:59" x14ac:dyDescent="0.3">
      <c r="A192" s="11">
        <v>188</v>
      </c>
      <c r="B192" s="12"/>
      <c r="C192" s="13"/>
      <c r="D192" s="12"/>
      <c r="E192" s="12"/>
      <c r="F192" s="12"/>
      <c r="G192" s="16"/>
      <c r="H192" s="12"/>
      <c r="I192" s="14"/>
      <c r="J192" s="137"/>
      <c r="K192" s="137"/>
      <c r="L192" s="18"/>
      <c r="M192" s="139"/>
      <c r="N192" s="140"/>
      <c r="O192" s="137"/>
      <c r="P192" s="137"/>
      <c r="Q192" s="15"/>
      <c r="R192" s="12"/>
      <c r="S192" s="12"/>
      <c r="T192" s="12"/>
      <c r="U192" s="14"/>
      <c r="V192" s="15"/>
      <c r="W192" s="12"/>
      <c r="X192" s="12"/>
      <c r="Y192" s="12"/>
      <c r="Z192" s="12"/>
      <c r="AA192" s="12"/>
      <c r="AB192" s="14"/>
      <c r="AC192" s="15"/>
      <c r="AD192" s="12"/>
      <c r="AE192" s="12"/>
      <c r="AF192" s="14"/>
      <c r="AG192" s="18"/>
      <c r="AH192" s="18"/>
      <c r="AI192" s="17"/>
      <c r="AJ192" s="181"/>
      <c r="AK192" s="13"/>
      <c r="AL192" s="181"/>
      <c r="AM192" s="175"/>
      <c r="AN192" s="192"/>
      <c r="AO192" s="13"/>
      <c r="AP192" s="181"/>
      <c r="AQ192" s="175"/>
      <c r="AR192" s="18"/>
      <c r="AS192" s="12"/>
      <c r="AT192" s="12"/>
      <c r="AU192" s="12"/>
      <c r="AV192" s="12"/>
      <c r="AW192" s="137"/>
      <c r="AX192" s="13"/>
      <c r="AY192" s="138"/>
      <c r="AZ192" s="140"/>
      <c r="BA192" s="18"/>
      <c r="BB192" s="18" t="e">
        <f>IF(#REF!&lt;&gt;0,IF(LL[[#This Row],[Date of Birth]]&lt;&gt;0,YEAR(#REF!-LL[[#This Row],[Date of Birth]])-1900,""),"")</f>
        <v>#REF!</v>
      </c>
      <c r="BC192" s="2" t="str">
        <f>IF(LL[[#This Row],[Sx Onset Date]]&gt;0,LL[[#This Row],[Sx Onset Date]],"")</f>
        <v/>
      </c>
      <c r="BD192" s="2" t="str">
        <f>IF(LL[[#This Row],[Lab-confirmed?]]="Y",LL[[#This Row],[Test Date]],"")</f>
        <v/>
      </c>
      <c r="BE192" s="2" t="str">
        <f>IF(LL[[#This Row],[Lab-confirmed?]]="Y",LL[[#This Row],[Test Date 2]],"")</f>
        <v/>
      </c>
      <c r="BF192" s="139" t="str">
        <f>IF(LL[[#This Row],[Date Reported to Public Health]]&gt;0,LL[[#This Row],[Date Reported to Public Health]],"")</f>
        <v/>
      </c>
      <c r="BG192" s="13" t="str">
        <f t="shared" si="2"/>
        <v/>
      </c>
    </row>
    <row r="193" spans="1:59" x14ac:dyDescent="0.3">
      <c r="A193" s="11">
        <v>189</v>
      </c>
      <c r="B193" s="12"/>
      <c r="C193" s="13"/>
      <c r="D193" s="12"/>
      <c r="E193" s="12"/>
      <c r="F193" s="12"/>
      <c r="G193" s="16"/>
      <c r="H193" s="12"/>
      <c r="I193" s="14"/>
      <c r="J193" s="137"/>
      <c r="K193" s="137"/>
      <c r="L193" s="18"/>
      <c r="M193" s="139"/>
      <c r="N193" s="140"/>
      <c r="O193" s="137"/>
      <c r="P193" s="137"/>
      <c r="Q193" s="15"/>
      <c r="R193" s="12"/>
      <c r="S193" s="12"/>
      <c r="T193" s="12"/>
      <c r="U193" s="14"/>
      <c r="V193" s="15"/>
      <c r="W193" s="12"/>
      <c r="X193" s="12"/>
      <c r="Y193" s="12"/>
      <c r="Z193" s="12"/>
      <c r="AA193" s="12"/>
      <c r="AB193" s="14"/>
      <c r="AC193" s="15"/>
      <c r="AD193" s="12"/>
      <c r="AE193" s="12"/>
      <c r="AF193" s="14"/>
      <c r="AG193" s="18"/>
      <c r="AH193" s="18"/>
      <c r="AI193" s="17"/>
      <c r="AJ193" s="181"/>
      <c r="AK193" s="13"/>
      <c r="AL193" s="181"/>
      <c r="AM193" s="175"/>
      <c r="AN193" s="192"/>
      <c r="AO193" s="13"/>
      <c r="AP193" s="181"/>
      <c r="AQ193" s="175"/>
      <c r="AR193" s="18"/>
      <c r="AS193" s="12"/>
      <c r="AT193" s="12"/>
      <c r="AU193" s="12"/>
      <c r="AV193" s="12"/>
      <c r="AW193" s="137"/>
      <c r="AX193" s="13"/>
      <c r="AY193" s="138"/>
      <c r="AZ193" s="140"/>
      <c r="BA193" s="18"/>
      <c r="BB193" s="18" t="e">
        <f>IF(#REF!&lt;&gt;0,IF(LL[[#This Row],[Date of Birth]]&lt;&gt;0,YEAR(#REF!-LL[[#This Row],[Date of Birth]])-1900,""),"")</f>
        <v>#REF!</v>
      </c>
      <c r="BC193" s="2" t="str">
        <f>IF(LL[[#This Row],[Sx Onset Date]]&gt;0,LL[[#This Row],[Sx Onset Date]],"")</f>
        <v/>
      </c>
      <c r="BD193" s="2" t="str">
        <f>IF(LL[[#This Row],[Lab-confirmed?]]="Y",LL[[#This Row],[Test Date]],"")</f>
        <v/>
      </c>
      <c r="BE193" s="2" t="str">
        <f>IF(LL[[#This Row],[Lab-confirmed?]]="Y",LL[[#This Row],[Test Date 2]],"")</f>
        <v/>
      </c>
      <c r="BF193" s="139" t="str">
        <f>IF(LL[[#This Row],[Date Reported to Public Health]]&gt;0,LL[[#This Row],[Date Reported to Public Health]],"")</f>
        <v/>
      </c>
      <c r="BG193" s="13" t="str">
        <f t="shared" si="2"/>
        <v/>
      </c>
    </row>
    <row r="194" spans="1:59" x14ac:dyDescent="0.3">
      <c r="A194" s="11">
        <v>190</v>
      </c>
      <c r="B194" s="12"/>
      <c r="C194" s="13"/>
      <c r="D194" s="12"/>
      <c r="E194" s="12"/>
      <c r="F194" s="12"/>
      <c r="G194" s="16"/>
      <c r="H194" s="12"/>
      <c r="I194" s="14"/>
      <c r="J194" s="137"/>
      <c r="K194" s="137"/>
      <c r="L194" s="18"/>
      <c r="M194" s="139"/>
      <c r="N194" s="140"/>
      <c r="O194" s="137"/>
      <c r="P194" s="137"/>
      <c r="Q194" s="15"/>
      <c r="R194" s="12"/>
      <c r="S194" s="12"/>
      <c r="T194" s="12"/>
      <c r="U194" s="14"/>
      <c r="V194" s="15"/>
      <c r="W194" s="12"/>
      <c r="X194" s="12"/>
      <c r="Y194" s="12"/>
      <c r="Z194" s="12"/>
      <c r="AA194" s="12"/>
      <c r="AB194" s="14"/>
      <c r="AC194" s="15"/>
      <c r="AD194" s="12"/>
      <c r="AE194" s="12"/>
      <c r="AF194" s="14"/>
      <c r="AG194" s="18"/>
      <c r="AH194" s="18"/>
      <c r="AI194" s="17"/>
      <c r="AJ194" s="181"/>
      <c r="AK194" s="13"/>
      <c r="AL194" s="181"/>
      <c r="AM194" s="175"/>
      <c r="AN194" s="192"/>
      <c r="AO194" s="13"/>
      <c r="AP194" s="181"/>
      <c r="AQ194" s="175"/>
      <c r="AR194" s="18"/>
      <c r="AS194" s="12"/>
      <c r="AT194" s="12"/>
      <c r="AU194" s="12"/>
      <c r="AV194" s="12"/>
      <c r="AW194" s="137"/>
      <c r="AX194" s="13"/>
      <c r="AY194" s="138"/>
      <c r="AZ194" s="140"/>
      <c r="BA194" s="18"/>
      <c r="BB194" s="18" t="e">
        <f>IF(#REF!&lt;&gt;0,IF(LL[[#This Row],[Date of Birth]]&lt;&gt;0,YEAR(#REF!-LL[[#This Row],[Date of Birth]])-1900,""),"")</f>
        <v>#REF!</v>
      </c>
      <c r="BC194" s="2" t="str">
        <f>IF(LL[[#This Row],[Sx Onset Date]]&gt;0,LL[[#This Row],[Sx Onset Date]],"")</f>
        <v/>
      </c>
      <c r="BD194" s="2" t="str">
        <f>IF(LL[[#This Row],[Lab-confirmed?]]="Y",LL[[#This Row],[Test Date]],"")</f>
        <v/>
      </c>
      <c r="BE194" s="2" t="str">
        <f>IF(LL[[#This Row],[Lab-confirmed?]]="Y",LL[[#This Row],[Test Date 2]],"")</f>
        <v/>
      </c>
      <c r="BF194" s="139" t="str">
        <f>IF(LL[[#This Row],[Date Reported to Public Health]]&gt;0,LL[[#This Row],[Date Reported to Public Health]],"")</f>
        <v/>
      </c>
      <c r="BG194" s="13" t="str">
        <f t="shared" si="2"/>
        <v/>
      </c>
    </row>
    <row r="195" spans="1:59" x14ac:dyDescent="0.3">
      <c r="A195" s="11">
        <v>191</v>
      </c>
      <c r="B195" s="12"/>
      <c r="C195" s="13"/>
      <c r="D195" s="12"/>
      <c r="E195" s="12"/>
      <c r="F195" s="12"/>
      <c r="G195" s="16"/>
      <c r="H195" s="12"/>
      <c r="I195" s="14"/>
      <c r="J195" s="137"/>
      <c r="K195" s="137"/>
      <c r="L195" s="18"/>
      <c r="M195" s="139"/>
      <c r="N195" s="140"/>
      <c r="O195" s="137"/>
      <c r="P195" s="137"/>
      <c r="Q195" s="15"/>
      <c r="R195" s="12"/>
      <c r="S195" s="12"/>
      <c r="T195" s="12"/>
      <c r="U195" s="14"/>
      <c r="V195" s="15"/>
      <c r="W195" s="12"/>
      <c r="X195" s="12"/>
      <c r="Y195" s="12"/>
      <c r="Z195" s="12"/>
      <c r="AA195" s="12"/>
      <c r="AB195" s="14"/>
      <c r="AC195" s="15"/>
      <c r="AD195" s="12"/>
      <c r="AE195" s="12"/>
      <c r="AF195" s="14"/>
      <c r="AG195" s="18"/>
      <c r="AH195" s="18"/>
      <c r="AI195" s="17"/>
      <c r="AJ195" s="181"/>
      <c r="AK195" s="13"/>
      <c r="AL195" s="181"/>
      <c r="AM195" s="175"/>
      <c r="AN195" s="192"/>
      <c r="AO195" s="13"/>
      <c r="AP195" s="181"/>
      <c r="AQ195" s="175"/>
      <c r="AR195" s="18"/>
      <c r="AS195" s="12"/>
      <c r="AT195" s="12"/>
      <c r="AU195" s="12"/>
      <c r="AV195" s="12"/>
      <c r="AW195" s="137"/>
      <c r="AX195" s="13"/>
      <c r="AY195" s="138"/>
      <c r="AZ195" s="140"/>
      <c r="BA195" s="18"/>
      <c r="BB195" s="18" t="e">
        <f>IF(#REF!&lt;&gt;0,IF(LL[[#This Row],[Date of Birth]]&lt;&gt;0,YEAR(#REF!-LL[[#This Row],[Date of Birth]])-1900,""),"")</f>
        <v>#REF!</v>
      </c>
      <c r="BC195" s="2" t="str">
        <f>IF(LL[[#This Row],[Sx Onset Date]]&gt;0,LL[[#This Row],[Sx Onset Date]],"")</f>
        <v/>
      </c>
      <c r="BD195" s="2" t="str">
        <f>IF(LL[[#This Row],[Lab-confirmed?]]="Y",LL[[#This Row],[Test Date]],"")</f>
        <v/>
      </c>
      <c r="BE195" s="2" t="str">
        <f>IF(LL[[#This Row],[Lab-confirmed?]]="Y",LL[[#This Row],[Test Date 2]],"")</f>
        <v/>
      </c>
      <c r="BF195" s="139" t="str">
        <f>IF(LL[[#This Row],[Date Reported to Public Health]]&gt;0,LL[[#This Row],[Date Reported to Public Health]],"")</f>
        <v/>
      </c>
      <c r="BG195" s="13" t="str">
        <f t="shared" si="2"/>
        <v/>
      </c>
    </row>
    <row r="196" spans="1:59" x14ac:dyDescent="0.3">
      <c r="A196" s="11">
        <v>192</v>
      </c>
      <c r="B196" s="12"/>
      <c r="C196" s="13"/>
      <c r="D196" s="12"/>
      <c r="E196" s="12"/>
      <c r="F196" s="12"/>
      <c r="G196" s="16"/>
      <c r="H196" s="12"/>
      <c r="I196" s="14"/>
      <c r="J196" s="137"/>
      <c r="K196" s="137"/>
      <c r="L196" s="18"/>
      <c r="M196" s="139"/>
      <c r="N196" s="140"/>
      <c r="O196" s="137"/>
      <c r="P196" s="137"/>
      <c r="Q196" s="15"/>
      <c r="R196" s="12"/>
      <c r="S196" s="12"/>
      <c r="T196" s="12"/>
      <c r="U196" s="14"/>
      <c r="V196" s="15"/>
      <c r="W196" s="12"/>
      <c r="X196" s="12"/>
      <c r="Y196" s="12"/>
      <c r="Z196" s="12"/>
      <c r="AA196" s="12"/>
      <c r="AB196" s="14"/>
      <c r="AC196" s="15"/>
      <c r="AD196" s="12"/>
      <c r="AE196" s="12"/>
      <c r="AF196" s="14"/>
      <c r="AG196" s="18"/>
      <c r="AH196" s="18"/>
      <c r="AI196" s="17"/>
      <c r="AJ196" s="181"/>
      <c r="AK196" s="13"/>
      <c r="AL196" s="181"/>
      <c r="AM196" s="175"/>
      <c r="AN196" s="192"/>
      <c r="AO196" s="13"/>
      <c r="AP196" s="181"/>
      <c r="AQ196" s="175"/>
      <c r="AR196" s="18"/>
      <c r="AS196" s="12"/>
      <c r="AT196" s="12"/>
      <c r="AU196" s="12"/>
      <c r="AV196" s="12"/>
      <c r="AW196" s="137"/>
      <c r="AX196" s="13"/>
      <c r="AY196" s="138"/>
      <c r="AZ196" s="140"/>
      <c r="BA196" s="18"/>
      <c r="BB196" s="18" t="e">
        <f>IF(#REF!&lt;&gt;0,IF(LL[[#This Row],[Date of Birth]]&lt;&gt;0,YEAR(#REF!-LL[[#This Row],[Date of Birth]])-1900,""),"")</f>
        <v>#REF!</v>
      </c>
      <c r="BC196" s="2" t="str">
        <f>IF(LL[[#This Row],[Sx Onset Date]]&gt;0,LL[[#This Row],[Sx Onset Date]],"")</f>
        <v/>
      </c>
      <c r="BD196" s="2" t="str">
        <f>IF(LL[[#This Row],[Lab-confirmed?]]="Y",LL[[#This Row],[Test Date]],"")</f>
        <v/>
      </c>
      <c r="BE196" s="2" t="str">
        <f>IF(LL[[#This Row],[Lab-confirmed?]]="Y",LL[[#This Row],[Test Date 2]],"")</f>
        <v/>
      </c>
      <c r="BF196" s="139" t="str">
        <f>IF(LL[[#This Row],[Date Reported to Public Health]]&gt;0,LL[[#This Row],[Date Reported to Public Health]],"")</f>
        <v/>
      </c>
      <c r="BG196" s="13" t="str">
        <f t="shared" si="2"/>
        <v/>
      </c>
    </row>
    <row r="197" spans="1:59" x14ac:dyDescent="0.3">
      <c r="A197" s="11">
        <v>193</v>
      </c>
      <c r="B197" s="12"/>
      <c r="C197" s="13"/>
      <c r="D197" s="12"/>
      <c r="E197" s="12"/>
      <c r="F197" s="12"/>
      <c r="G197" s="16"/>
      <c r="H197" s="12"/>
      <c r="I197" s="14"/>
      <c r="J197" s="137"/>
      <c r="K197" s="137"/>
      <c r="L197" s="18"/>
      <c r="M197" s="139"/>
      <c r="N197" s="140"/>
      <c r="O197" s="137"/>
      <c r="P197" s="137"/>
      <c r="Q197" s="15"/>
      <c r="R197" s="12"/>
      <c r="S197" s="12"/>
      <c r="T197" s="12"/>
      <c r="U197" s="14"/>
      <c r="V197" s="15"/>
      <c r="W197" s="12"/>
      <c r="X197" s="12"/>
      <c r="Y197" s="12"/>
      <c r="Z197" s="12"/>
      <c r="AA197" s="12"/>
      <c r="AB197" s="14"/>
      <c r="AC197" s="15"/>
      <c r="AD197" s="12"/>
      <c r="AE197" s="12"/>
      <c r="AF197" s="14"/>
      <c r="AG197" s="18"/>
      <c r="AH197" s="18"/>
      <c r="AI197" s="17"/>
      <c r="AJ197" s="181"/>
      <c r="AK197" s="13"/>
      <c r="AL197" s="181"/>
      <c r="AM197" s="175"/>
      <c r="AN197" s="192"/>
      <c r="AO197" s="13"/>
      <c r="AP197" s="181"/>
      <c r="AQ197" s="175"/>
      <c r="AR197" s="18"/>
      <c r="AS197" s="12"/>
      <c r="AT197" s="12"/>
      <c r="AU197" s="12"/>
      <c r="AV197" s="12"/>
      <c r="AW197" s="137"/>
      <c r="AX197" s="13"/>
      <c r="AY197" s="138"/>
      <c r="AZ197" s="140"/>
      <c r="BA197" s="18"/>
      <c r="BB197" s="18" t="e">
        <f>IF(#REF!&lt;&gt;0,IF(LL[[#This Row],[Date of Birth]]&lt;&gt;0,YEAR(#REF!-LL[[#This Row],[Date of Birth]])-1900,""),"")</f>
        <v>#REF!</v>
      </c>
      <c r="BC197" s="2" t="str">
        <f>IF(LL[[#This Row],[Sx Onset Date]]&gt;0,LL[[#This Row],[Sx Onset Date]],"")</f>
        <v/>
      </c>
      <c r="BD197" s="2" t="str">
        <f>IF(LL[[#This Row],[Lab-confirmed?]]="Y",LL[[#This Row],[Test Date]],"")</f>
        <v/>
      </c>
      <c r="BE197" s="2" t="str">
        <f>IF(LL[[#This Row],[Lab-confirmed?]]="Y",LL[[#This Row],[Test Date 2]],"")</f>
        <v/>
      </c>
      <c r="BF197" s="139" t="str">
        <f>IF(LL[[#This Row],[Date Reported to Public Health]]&gt;0,LL[[#This Row],[Date Reported to Public Health]],"")</f>
        <v/>
      </c>
      <c r="BG197" s="13" t="str">
        <f t="shared" ref="BG197:BG260" si="3">IF(_xlfn.MINIFS(BC197:BF197,BC197:BF197,"&gt;"&amp;0)&gt;0,_xlfn.MINIFS(BC197:BF197,BC197:BF197,"&gt;"&amp;0),"")</f>
        <v/>
      </c>
    </row>
    <row r="198" spans="1:59" x14ac:dyDescent="0.3">
      <c r="A198" s="11">
        <v>194</v>
      </c>
      <c r="B198" s="12"/>
      <c r="C198" s="13"/>
      <c r="D198" s="12"/>
      <c r="E198" s="12"/>
      <c r="F198" s="12"/>
      <c r="G198" s="16"/>
      <c r="H198" s="12"/>
      <c r="I198" s="14"/>
      <c r="J198" s="137"/>
      <c r="K198" s="137"/>
      <c r="L198" s="18"/>
      <c r="M198" s="139"/>
      <c r="N198" s="140"/>
      <c r="O198" s="137"/>
      <c r="P198" s="137"/>
      <c r="Q198" s="15"/>
      <c r="R198" s="12"/>
      <c r="S198" s="12"/>
      <c r="T198" s="12"/>
      <c r="U198" s="14"/>
      <c r="V198" s="15"/>
      <c r="W198" s="12"/>
      <c r="X198" s="12"/>
      <c r="Y198" s="12"/>
      <c r="Z198" s="12"/>
      <c r="AA198" s="12"/>
      <c r="AB198" s="14"/>
      <c r="AC198" s="15"/>
      <c r="AD198" s="12"/>
      <c r="AE198" s="12"/>
      <c r="AF198" s="14"/>
      <c r="AG198" s="18"/>
      <c r="AH198" s="18"/>
      <c r="AI198" s="17"/>
      <c r="AJ198" s="181"/>
      <c r="AK198" s="13"/>
      <c r="AL198" s="181"/>
      <c r="AM198" s="175"/>
      <c r="AN198" s="192"/>
      <c r="AO198" s="13"/>
      <c r="AP198" s="181"/>
      <c r="AQ198" s="175"/>
      <c r="AR198" s="18"/>
      <c r="AS198" s="12"/>
      <c r="AT198" s="12"/>
      <c r="AU198" s="12"/>
      <c r="AV198" s="12"/>
      <c r="AW198" s="137"/>
      <c r="AX198" s="13"/>
      <c r="AY198" s="138"/>
      <c r="AZ198" s="140"/>
      <c r="BA198" s="18"/>
      <c r="BB198" s="18" t="e">
        <f>IF(#REF!&lt;&gt;0,IF(LL[[#This Row],[Date of Birth]]&lt;&gt;0,YEAR(#REF!-LL[[#This Row],[Date of Birth]])-1900,""),"")</f>
        <v>#REF!</v>
      </c>
      <c r="BC198" s="2" t="str">
        <f>IF(LL[[#This Row],[Sx Onset Date]]&gt;0,LL[[#This Row],[Sx Onset Date]],"")</f>
        <v/>
      </c>
      <c r="BD198" s="2" t="str">
        <f>IF(LL[[#This Row],[Lab-confirmed?]]="Y",LL[[#This Row],[Test Date]],"")</f>
        <v/>
      </c>
      <c r="BE198" s="2" t="str">
        <f>IF(LL[[#This Row],[Lab-confirmed?]]="Y",LL[[#This Row],[Test Date 2]],"")</f>
        <v/>
      </c>
      <c r="BF198" s="139" t="str">
        <f>IF(LL[[#This Row],[Date Reported to Public Health]]&gt;0,LL[[#This Row],[Date Reported to Public Health]],"")</f>
        <v/>
      </c>
      <c r="BG198" s="13" t="str">
        <f t="shared" si="3"/>
        <v/>
      </c>
    </row>
    <row r="199" spans="1:59" x14ac:dyDescent="0.3">
      <c r="A199" s="11">
        <v>195</v>
      </c>
      <c r="B199" s="12"/>
      <c r="C199" s="13"/>
      <c r="D199" s="12"/>
      <c r="E199" s="12"/>
      <c r="F199" s="12"/>
      <c r="G199" s="16"/>
      <c r="H199" s="12"/>
      <c r="I199" s="14"/>
      <c r="J199" s="137"/>
      <c r="K199" s="137"/>
      <c r="L199" s="18"/>
      <c r="M199" s="139"/>
      <c r="N199" s="140"/>
      <c r="O199" s="137"/>
      <c r="P199" s="137"/>
      <c r="Q199" s="15"/>
      <c r="R199" s="12"/>
      <c r="S199" s="12"/>
      <c r="T199" s="12"/>
      <c r="U199" s="14"/>
      <c r="V199" s="15"/>
      <c r="W199" s="12"/>
      <c r="X199" s="12"/>
      <c r="Y199" s="12"/>
      <c r="Z199" s="12"/>
      <c r="AA199" s="12"/>
      <c r="AB199" s="14"/>
      <c r="AC199" s="15"/>
      <c r="AD199" s="12"/>
      <c r="AE199" s="12"/>
      <c r="AF199" s="14"/>
      <c r="AG199" s="18"/>
      <c r="AH199" s="18"/>
      <c r="AI199" s="17"/>
      <c r="AJ199" s="181"/>
      <c r="AK199" s="13"/>
      <c r="AL199" s="181"/>
      <c r="AM199" s="175"/>
      <c r="AN199" s="192"/>
      <c r="AO199" s="13"/>
      <c r="AP199" s="181"/>
      <c r="AQ199" s="175"/>
      <c r="AR199" s="18"/>
      <c r="AS199" s="12"/>
      <c r="AT199" s="12"/>
      <c r="AU199" s="12"/>
      <c r="AV199" s="12"/>
      <c r="AW199" s="137"/>
      <c r="AX199" s="13"/>
      <c r="AY199" s="138"/>
      <c r="AZ199" s="140"/>
      <c r="BA199" s="18"/>
      <c r="BB199" s="18" t="e">
        <f>IF(#REF!&lt;&gt;0,IF(LL[[#This Row],[Date of Birth]]&lt;&gt;0,YEAR(#REF!-LL[[#This Row],[Date of Birth]])-1900,""),"")</f>
        <v>#REF!</v>
      </c>
      <c r="BC199" s="2" t="str">
        <f>IF(LL[[#This Row],[Sx Onset Date]]&gt;0,LL[[#This Row],[Sx Onset Date]],"")</f>
        <v/>
      </c>
      <c r="BD199" s="2" t="str">
        <f>IF(LL[[#This Row],[Lab-confirmed?]]="Y",LL[[#This Row],[Test Date]],"")</f>
        <v/>
      </c>
      <c r="BE199" s="2" t="str">
        <f>IF(LL[[#This Row],[Lab-confirmed?]]="Y",LL[[#This Row],[Test Date 2]],"")</f>
        <v/>
      </c>
      <c r="BF199" s="139" t="str">
        <f>IF(LL[[#This Row],[Date Reported to Public Health]]&gt;0,LL[[#This Row],[Date Reported to Public Health]],"")</f>
        <v/>
      </c>
      <c r="BG199" s="13" t="str">
        <f t="shared" si="3"/>
        <v/>
      </c>
    </row>
    <row r="200" spans="1:59" x14ac:dyDescent="0.3">
      <c r="A200" s="11">
        <v>196</v>
      </c>
      <c r="B200" s="12"/>
      <c r="C200" s="13"/>
      <c r="D200" s="12"/>
      <c r="E200" s="12"/>
      <c r="F200" s="12"/>
      <c r="G200" s="16"/>
      <c r="H200" s="12"/>
      <c r="I200" s="14"/>
      <c r="J200" s="137"/>
      <c r="K200" s="137"/>
      <c r="L200" s="18"/>
      <c r="M200" s="139"/>
      <c r="N200" s="140"/>
      <c r="O200" s="137"/>
      <c r="P200" s="137"/>
      <c r="Q200" s="15"/>
      <c r="R200" s="12"/>
      <c r="S200" s="12"/>
      <c r="T200" s="12"/>
      <c r="U200" s="14"/>
      <c r="V200" s="15"/>
      <c r="W200" s="12"/>
      <c r="X200" s="12"/>
      <c r="Y200" s="12"/>
      <c r="Z200" s="12"/>
      <c r="AA200" s="12"/>
      <c r="AB200" s="14"/>
      <c r="AC200" s="15"/>
      <c r="AD200" s="12"/>
      <c r="AE200" s="12"/>
      <c r="AF200" s="14"/>
      <c r="AG200" s="18"/>
      <c r="AH200" s="18"/>
      <c r="AI200" s="17"/>
      <c r="AJ200" s="181"/>
      <c r="AK200" s="13"/>
      <c r="AL200" s="181"/>
      <c r="AM200" s="175"/>
      <c r="AN200" s="192"/>
      <c r="AO200" s="13"/>
      <c r="AP200" s="181"/>
      <c r="AQ200" s="175"/>
      <c r="AR200" s="18"/>
      <c r="AS200" s="12"/>
      <c r="AT200" s="12"/>
      <c r="AU200" s="12"/>
      <c r="AV200" s="12"/>
      <c r="AW200" s="137"/>
      <c r="AX200" s="13"/>
      <c r="AY200" s="138"/>
      <c r="AZ200" s="140"/>
      <c r="BA200" s="18"/>
      <c r="BB200" s="18" t="e">
        <f>IF(#REF!&lt;&gt;0,IF(LL[[#This Row],[Date of Birth]]&lt;&gt;0,YEAR(#REF!-LL[[#This Row],[Date of Birth]])-1900,""),"")</f>
        <v>#REF!</v>
      </c>
      <c r="BC200" s="2" t="str">
        <f>IF(LL[[#This Row],[Sx Onset Date]]&gt;0,LL[[#This Row],[Sx Onset Date]],"")</f>
        <v/>
      </c>
      <c r="BD200" s="2" t="str">
        <f>IF(LL[[#This Row],[Lab-confirmed?]]="Y",LL[[#This Row],[Test Date]],"")</f>
        <v/>
      </c>
      <c r="BE200" s="2" t="str">
        <f>IF(LL[[#This Row],[Lab-confirmed?]]="Y",LL[[#This Row],[Test Date 2]],"")</f>
        <v/>
      </c>
      <c r="BF200" s="139" t="str">
        <f>IF(LL[[#This Row],[Date Reported to Public Health]]&gt;0,LL[[#This Row],[Date Reported to Public Health]],"")</f>
        <v/>
      </c>
      <c r="BG200" s="13" t="str">
        <f t="shared" si="3"/>
        <v/>
      </c>
    </row>
    <row r="201" spans="1:59" x14ac:dyDescent="0.3">
      <c r="A201" s="11">
        <v>197</v>
      </c>
      <c r="B201" s="12"/>
      <c r="C201" s="13"/>
      <c r="D201" s="12"/>
      <c r="E201" s="12"/>
      <c r="F201" s="12"/>
      <c r="G201" s="16"/>
      <c r="H201" s="12"/>
      <c r="I201" s="14"/>
      <c r="J201" s="137"/>
      <c r="K201" s="137"/>
      <c r="L201" s="18"/>
      <c r="M201" s="139"/>
      <c r="N201" s="140"/>
      <c r="O201" s="137"/>
      <c r="P201" s="137"/>
      <c r="Q201" s="15"/>
      <c r="R201" s="12"/>
      <c r="S201" s="12"/>
      <c r="T201" s="12"/>
      <c r="U201" s="14"/>
      <c r="V201" s="15"/>
      <c r="W201" s="12"/>
      <c r="X201" s="12"/>
      <c r="Y201" s="12"/>
      <c r="Z201" s="12"/>
      <c r="AA201" s="12"/>
      <c r="AB201" s="14"/>
      <c r="AC201" s="15"/>
      <c r="AD201" s="12"/>
      <c r="AE201" s="12"/>
      <c r="AF201" s="14"/>
      <c r="AG201" s="18"/>
      <c r="AH201" s="18"/>
      <c r="AI201" s="17"/>
      <c r="AJ201" s="181"/>
      <c r="AK201" s="13"/>
      <c r="AL201" s="181"/>
      <c r="AM201" s="175"/>
      <c r="AN201" s="192"/>
      <c r="AO201" s="13"/>
      <c r="AP201" s="181"/>
      <c r="AQ201" s="175"/>
      <c r="AR201" s="18"/>
      <c r="AS201" s="12"/>
      <c r="AT201" s="12"/>
      <c r="AU201" s="12"/>
      <c r="AV201" s="12"/>
      <c r="AW201" s="137"/>
      <c r="AX201" s="13"/>
      <c r="AY201" s="138"/>
      <c r="AZ201" s="140"/>
      <c r="BA201" s="18"/>
      <c r="BB201" s="18" t="e">
        <f>IF(#REF!&lt;&gt;0,IF(LL[[#This Row],[Date of Birth]]&lt;&gt;0,YEAR(#REF!-LL[[#This Row],[Date of Birth]])-1900,""),"")</f>
        <v>#REF!</v>
      </c>
      <c r="BC201" s="2" t="str">
        <f>IF(LL[[#This Row],[Sx Onset Date]]&gt;0,LL[[#This Row],[Sx Onset Date]],"")</f>
        <v/>
      </c>
      <c r="BD201" s="2" t="str">
        <f>IF(LL[[#This Row],[Lab-confirmed?]]="Y",LL[[#This Row],[Test Date]],"")</f>
        <v/>
      </c>
      <c r="BE201" s="2" t="str">
        <f>IF(LL[[#This Row],[Lab-confirmed?]]="Y",LL[[#This Row],[Test Date 2]],"")</f>
        <v/>
      </c>
      <c r="BF201" s="139" t="str">
        <f>IF(LL[[#This Row],[Date Reported to Public Health]]&gt;0,LL[[#This Row],[Date Reported to Public Health]],"")</f>
        <v/>
      </c>
      <c r="BG201" s="13" t="str">
        <f t="shared" si="3"/>
        <v/>
      </c>
    </row>
    <row r="202" spans="1:59" x14ac:dyDescent="0.3">
      <c r="A202" s="11">
        <v>198</v>
      </c>
      <c r="B202" s="12"/>
      <c r="C202" s="13"/>
      <c r="D202" s="12"/>
      <c r="E202" s="12"/>
      <c r="F202" s="12"/>
      <c r="G202" s="16"/>
      <c r="H202" s="12"/>
      <c r="I202" s="14"/>
      <c r="J202" s="137"/>
      <c r="K202" s="137"/>
      <c r="L202" s="18"/>
      <c r="M202" s="139"/>
      <c r="N202" s="140"/>
      <c r="O202" s="137"/>
      <c r="P202" s="137"/>
      <c r="Q202" s="15"/>
      <c r="R202" s="12"/>
      <c r="S202" s="12"/>
      <c r="T202" s="12"/>
      <c r="U202" s="14"/>
      <c r="V202" s="15"/>
      <c r="W202" s="12"/>
      <c r="X202" s="12"/>
      <c r="Y202" s="12"/>
      <c r="Z202" s="12"/>
      <c r="AA202" s="12"/>
      <c r="AB202" s="14"/>
      <c r="AC202" s="15"/>
      <c r="AD202" s="12"/>
      <c r="AE202" s="12"/>
      <c r="AF202" s="14"/>
      <c r="AG202" s="18"/>
      <c r="AH202" s="18"/>
      <c r="AI202" s="17"/>
      <c r="AJ202" s="181"/>
      <c r="AK202" s="13"/>
      <c r="AL202" s="181"/>
      <c r="AM202" s="175"/>
      <c r="AN202" s="192"/>
      <c r="AO202" s="13"/>
      <c r="AP202" s="181"/>
      <c r="AQ202" s="175"/>
      <c r="AR202" s="18"/>
      <c r="AS202" s="12"/>
      <c r="AT202" s="12"/>
      <c r="AU202" s="12"/>
      <c r="AV202" s="12"/>
      <c r="AW202" s="137"/>
      <c r="AX202" s="13"/>
      <c r="AY202" s="138"/>
      <c r="AZ202" s="140"/>
      <c r="BA202" s="18"/>
      <c r="BB202" s="18" t="e">
        <f>IF(#REF!&lt;&gt;0,IF(LL[[#This Row],[Date of Birth]]&lt;&gt;0,YEAR(#REF!-LL[[#This Row],[Date of Birth]])-1900,""),"")</f>
        <v>#REF!</v>
      </c>
      <c r="BC202" s="2" t="str">
        <f>IF(LL[[#This Row],[Sx Onset Date]]&gt;0,LL[[#This Row],[Sx Onset Date]],"")</f>
        <v/>
      </c>
      <c r="BD202" s="2" t="str">
        <f>IF(LL[[#This Row],[Lab-confirmed?]]="Y",LL[[#This Row],[Test Date]],"")</f>
        <v/>
      </c>
      <c r="BE202" s="2" t="str">
        <f>IF(LL[[#This Row],[Lab-confirmed?]]="Y",LL[[#This Row],[Test Date 2]],"")</f>
        <v/>
      </c>
      <c r="BF202" s="139" t="str">
        <f>IF(LL[[#This Row],[Date Reported to Public Health]]&gt;0,LL[[#This Row],[Date Reported to Public Health]],"")</f>
        <v/>
      </c>
      <c r="BG202" s="13" t="str">
        <f t="shared" si="3"/>
        <v/>
      </c>
    </row>
    <row r="203" spans="1:59" x14ac:dyDescent="0.3">
      <c r="A203" s="11">
        <v>199</v>
      </c>
      <c r="B203" s="12"/>
      <c r="C203" s="13"/>
      <c r="D203" s="12"/>
      <c r="E203" s="12"/>
      <c r="F203" s="12"/>
      <c r="G203" s="16"/>
      <c r="H203" s="12"/>
      <c r="I203" s="14"/>
      <c r="J203" s="137"/>
      <c r="K203" s="137"/>
      <c r="L203" s="18"/>
      <c r="M203" s="139"/>
      <c r="N203" s="140"/>
      <c r="O203" s="137"/>
      <c r="P203" s="137"/>
      <c r="Q203" s="15"/>
      <c r="R203" s="12"/>
      <c r="S203" s="12"/>
      <c r="T203" s="12"/>
      <c r="U203" s="14"/>
      <c r="V203" s="15"/>
      <c r="W203" s="12"/>
      <c r="X203" s="12"/>
      <c r="Y203" s="12"/>
      <c r="Z203" s="12"/>
      <c r="AA203" s="12"/>
      <c r="AB203" s="14"/>
      <c r="AC203" s="15"/>
      <c r="AD203" s="12"/>
      <c r="AE203" s="12"/>
      <c r="AF203" s="14"/>
      <c r="AG203" s="18"/>
      <c r="AH203" s="18"/>
      <c r="AI203" s="17"/>
      <c r="AJ203" s="181"/>
      <c r="AK203" s="13"/>
      <c r="AL203" s="181"/>
      <c r="AM203" s="175"/>
      <c r="AN203" s="192"/>
      <c r="AO203" s="13"/>
      <c r="AP203" s="181"/>
      <c r="AQ203" s="175"/>
      <c r="AR203" s="18"/>
      <c r="AS203" s="12"/>
      <c r="AT203" s="12"/>
      <c r="AU203" s="12"/>
      <c r="AV203" s="12"/>
      <c r="AW203" s="137"/>
      <c r="AX203" s="13"/>
      <c r="AY203" s="138"/>
      <c r="AZ203" s="140"/>
      <c r="BA203" s="18"/>
      <c r="BB203" s="18" t="e">
        <f>IF(#REF!&lt;&gt;0,IF(LL[[#This Row],[Date of Birth]]&lt;&gt;0,YEAR(#REF!-LL[[#This Row],[Date of Birth]])-1900,""),"")</f>
        <v>#REF!</v>
      </c>
      <c r="BC203" s="2" t="str">
        <f>IF(LL[[#This Row],[Sx Onset Date]]&gt;0,LL[[#This Row],[Sx Onset Date]],"")</f>
        <v/>
      </c>
      <c r="BD203" s="2" t="str">
        <f>IF(LL[[#This Row],[Lab-confirmed?]]="Y",LL[[#This Row],[Test Date]],"")</f>
        <v/>
      </c>
      <c r="BE203" s="2" t="str">
        <f>IF(LL[[#This Row],[Lab-confirmed?]]="Y",LL[[#This Row],[Test Date 2]],"")</f>
        <v/>
      </c>
      <c r="BF203" s="139" t="str">
        <f>IF(LL[[#This Row],[Date Reported to Public Health]]&gt;0,LL[[#This Row],[Date Reported to Public Health]],"")</f>
        <v/>
      </c>
      <c r="BG203" s="13" t="str">
        <f t="shared" si="3"/>
        <v/>
      </c>
    </row>
    <row r="204" spans="1:59" x14ac:dyDescent="0.3">
      <c r="A204" s="11">
        <v>200</v>
      </c>
      <c r="B204" s="12"/>
      <c r="C204" s="13"/>
      <c r="D204" s="12"/>
      <c r="E204" s="12"/>
      <c r="F204" s="12"/>
      <c r="G204" s="16"/>
      <c r="H204" s="12"/>
      <c r="I204" s="14"/>
      <c r="J204" s="137"/>
      <c r="K204" s="137"/>
      <c r="L204" s="18"/>
      <c r="M204" s="139"/>
      <c r="N204" s="140"/>
      <c r="O204" s="137"/>
      <c r="P204" s="137"/>
      <c r="Q204" s="15"/>
      <c r="R204" s="12"/>
      <c r="S204" s="12"/>
      <c r="T204" s="12"/>
      <c r="U204" s="14"/>
      <c r="V204" s="15"/>
      <c r="W204" s="12"/>
      <c r="X204" s="12"/>
      <c r="Y204" s="12"/>
      <c r="Z204" s="12"/>
      <c r="AA204" s="12"/>
      <c r="AB204" s="14"/>
      <c r="AC204" s="15"/>
      <c r="AD204" s="12"/>
      <c r="AE204" s="12"/>
      <c r="AF204" s="14"/>
      <c r="AG204" s="18"/>
      <c r="AH204" s="18"/>
      <c r="AI204" s="17"/>
      <c r="AJ204" s="181"/>
      <c r="AK204" s="13"/>
      <c r="AL204" s="181"/>
      <c r="AM204" s="175"/>
      <c r="AN204" s="192"/>
      <c r="AO204" s="13"/>
      <c r="AP204" s="181"/>
      <c r="AQ204" s="175"/>
      <c r="AR204" s="18"/>
      <c r="AS204" s="12"/>
      <c r="AT204" s="12"/>
      <c r="AU204" s="12"/>
      <c r="AV204" s="12"/>
      <c r="AW204" s="137"/>
      <c r="AX204" s="13"/>
      <c r="AY204" s="138"/>
      <c r="AZ204" s="140"/>
      <c r="BA204" s="18"/>
      <c r="BB204" s="18" t="e">
        <f>IF(#REF!&lt;&gt;0,IF(LL[[#This Row],[Date of Birth]]&lt;&gt;0,YEAR(#REF!-LL[[#This Row],[Date of Birth]])-1900,""),"")</f>
        <v>#REF!</v>
      </c>
      <c r="BC204" s="2" t="str">
        <f>IF(LL[[#This Row],[Sx Onset Date]]&gt;0,LL[[#This Row],[Sx Onset Date]],"")</f>
        <v/>
      </c>
      <c r="BD204" s="2" t="str">
        <f>IF(LL[[#This Row],[Lab-confirmed?]]="Y",LL[[#This Row],[Test Date]],"")</f>
        <v/>
      </c>
      <c r="BE204" s="2" t="str">
        <f>IF(LL[[#This Row],[Lab-confirmed?]]="Y",LL[[#This Row],[Test Date 2]],"")</f>
        <v/>
      </c>
      <c r="BF204" s="139" t="str">
        <f>IF(LL[[#This Row],[Date Reported to Public Health]]&gt;0,LL[[#This Row],[Date Reported to Public Health]],"")</f>
        <v/>
      </c>
      <c r="BG204" s="13" t="str">
        <f t="shared" si="3"/>
        <v/>
      </c>
    </row>
    <row r="205" spans="1:59" x14ac:dyDescent="0.3">
      <c r="A205" s="11">
        <v>201</v>
      </c>
      <c r="B205" s="12"/>
      <c r="C205" s="13"/>
      <c r="D205" s="12"/>
      <c r="E205" s="12"/>
      <c r="F205" s="12"/>
      <c r="G205" s="16"/>
      <c r="H205" s="12"/>
      <c r="I205" s="14"/>
      <c r="J205" s="137"/>
      <c r="K205" s="137"/>
      <c r="L205" s="18"/>
      <c r="M205" s="139"/>
      <c r="N205" s="140"/>
      <c r="O205" s="137"/>
      <c r="P205" s="137"/>
      <c r="Q205" s="15"/>
      <c r="R205" s="12"/>
      <c r="S205" s="12"/>
      <c r="T205" s="12"/>
      <c r="U205" s="14"/>
      <c r="V205" s="15"/>
      <c r="W205" s="12"/>
      <c r="X205" s="12"/>
      <c r="Y205" s="12"/>
      <c r="Z205" s="12"/>
      <c r="AA205" s="12"/>
      <c r="AB205" s="14"/>
      <c r="AC205" s="15"/>
      <c r="AD205" s="12"/>
      <c r="AE205" s="12"/>
      <c r="AF205" s="14"/>
      <c r="AG205" s="18"/>
      <c r="AH205" s="18"/>
      <c r="AI205" s="17"/>
      <c r="AJ205" s="181"/>
      <c r="AK205" s="13"/>
      <c r="AL205" s="181"/>
      <c r="AM205" s="175"/>
      <c r="AN205" s="192"/>
      <c r="AO205" s="13"/>
      <c r="AP205" s="181"/>
      <c r="AQ205" s="175"/>
      <c r="AR205" s="18"/>
      <c r="AS205" s="12"/>
      <c r="AT205" s="12"/>
      <c r="AU205" s="12"/>
      <c r="AV205" s="12"/>
      <c r="AW205" s="137"/>
      <c r="AX205" s="13"/>
      <c r="AY205" s="138"/>
      <c r="AZ205" s="140"/>
      <c r="BA205" s="18"/>
      <c r="BB205" s="18" t="e">
        <f>IF(#REF!&lt;&gt;0,IF(LL[[#This Row],[Date of Birth]]&lt;&gt;0,YEAR(#REF!-LL[[#This Row],[Date of Birth]])-1900,""),"")</f>
        <v>#REF!</v>
      </c>
      <c r="BC205" s="2" t="str">
        <f>IF(LL[[#This Row],[Sx Onset Date]]&gt;0,LL[[#This Row],[Sx Onset Date]],"")</f>
        <v/>
      </c>
      <c r="BD205" s="2" t="str">
        <f>IF(LL[[#This Row],[Lab-confirmed?]]="Y",LL[[#This Row],[Test Date]],"")</f>
        <v/>
      </c>
      <c r="BE205" s="2" t="str">
        <f>IF(LL[[#This Row],[Lab-confirmed?]]="Y",LL[[#This Row],[Test Date 2]],"")</f>
        <v/>
      </c>
      <c r="BF205" s="139" t="str">
        <f>IF(LL[[#This Row],[Date Reported to Public Health]]&gt;0,LL[[#This Row],[Date Reported to Public Health]],"")</f>
        <v/>
      </c>
      <c r="BG205" s="13" t="str">
        <f t="shared" si="3"/>
        <v/>
      </c>
    </row>
    <row r="206" spans="1:59" x14ac:dyDescent="0.3">
      <c r="A206" s="11">
        <v>202</v>
      </c>
      <c r="B206" s="12"/>
      <c r="C206" s="13"/>
      <c r="D206" s="12"/>
      <c r="E206" s="12"/>
      <c r="F206" s="12"/>
      <c r="G206" s="16"/>
      <c r="H206" s="12"/>
      <c r="I206" s="14"/>
      <c r="J206" s="137"/>
      <c r="K206" s="137"/>
      <c r="L206" s="18"/>
      <c r="M206" s="139"/>
      <c r="N206" s="140"/>
      <c r="O206" s="137"/>
      <c r="P206" s="137"/>
      <c r="Q206" s="15"/>
      <c r="R206" s="12"/>
      <c r="S206" s="12"/>
      <c r="T206" s="12"/>
      <c r="U206" s="14"/>
      <c r="V206" s="15"/>
      <c r="W206" s="12"/>
      <c r="X206" s="12"/>
      <c r="Y206" s="12"/>
      <c r="Z206" s="12"/>
      <c r="AA206" s="12"/>
      <c r="AB206" s="14"/>
      <c r="AC206" s="15"/>
      <c r="AD206" s="12"/>
      <c r="AE206" s="12"/>
      <c r="AF206" s="14"/>
      <c r="AG206" s="18"/>
      <c r="AH206" s="18"/>
      <c r="AI206" s="17"/>
      <c r="AJ206" s="181"/>
      <c r="AK206" s="13"/>
      <c r="AL206" s="181"/>
      <c r="AM206" s="175"/>
      <c r="AN206" s="192"/>
      <c r="AO206" s="13"/>
      <c r="AP206" s="181"/>
      <c r="AQ206" s="175"/>
      <c r="AR206" s="18"/>
      <c r="AS206" s="12"/>
      <c r="AT206" s="12"/>
      <c r="AU206" s="12"/>
      <c r="AV206" s="12"/>
      <c r="AW206" s="137"/>
      <c r="AX206" s="13"/>
      <c r="AY206" s="138"/>
      <c r="AZ206" s="140"/>
      <c r="BA206" s="18"/>
      <c r="BB206" s="18" t="e">
        <f>IF(#REF!&lt;&gt;0,IF(LL[[#This Row],[Date of Birth]]&lt;&gt;0,YEAR(#REF!-LL[[#This Row],[Date of Birth]])-1900,""),"")</f>
        <v>#REF!</v>
      </c>
      <c r="BC206" s="2" t="str">
        <f>IF(LL[[#This Row],[Sx Onset Date]]&gt;0,LL[[#This Row],[Sx Onset Date]],"")</f>
        <v/>
      </c>
      <c r="BD206" s="2" t="str">
        <f>IF(LL[[#This Row],[Lab-confirmed?]]="Y",LL[[#This Row],[Test Date]],"")</f>
        <v/>
      </c>
      <c r="BE206" s="2" t="str">
        <f>IF(LL[[#This Row],[Lab-confirmed?]]="Y",LL[[#This Row],[Test Date 2]],"")</f>
        <v/>
      </c>
      <c r="BF206" s="139" t="str">
        <f>IF(LL[[#This Row],[Date Reported to Public Health]]&gt;0,LL[[#This Row],[Date Reported to Public Health]],"")</f>
        <v/>
      </c>
      <c r="BG206" s="13" t="str">
        <f t="shared" si="3"/>
        <v/>
      </c>
    </row>
    <row r="207" spans="1:59" x14ac:dyDescent="0.3">
      <c r="A207" s="11">
        <v>203</v>
      </c>
      <c r="B207" s="12"/>
      <c r="C207" s="13"/>
      <c r="D207" s="12"/>
      <c r="E207" s="12"/>
      <c r="F207" s="12"/>
      <c r="G207" s="16"/>
      <c r="H207" s="12"/>
      <c r="I207" s="14"/>
      <c r="J207" s="137"/>
      <c r="K207" s="137"/>
      <c r="L207" s="18"/>
      <c r="M207" s="139"/>
      <c r="N207" s="140"/>
      <c r="O207" s="137"/>
      <c r="P207" s="137"/>
      <c r="Q207" s="15"/>
      <c r="R207" s="12"/>
      <c r="S207" s="12"/>
      <c r="T207" s="12"/>
      <c r="U207" s="14"/>
      <c r="V207" s="15"/>
      <c r="W207" s="12"/>
      <c r="X207" s="12"/>
      <c r="Y207" s="12"/>
      <c r="Z207" s="12"/>
      <c r="AA207" s="12"/>
      <c r="AB207" s="14"/>
      <c r="AC207" s="15"/>
      <c r="AD207" s="12"/>
      <c r="AE207" s="12"/>
      <c r="AF207" s="14"/>
      <c r="AG207" s="18"/>
      <c r="AH207" s="18"/>
      <c r="AI207" s="17"/>
      <c r="AJ207" s="181"/>
      <c r="AK207" s="13"/>
      <c r="AL207" s="181"/>
      <c r="AM207" s="175"/>
      <c r="AN207" s="192"/>
      <c r="AO207" s="13"/>
      <c r="AP207" s="181"/>
      <c r="AQ207" s="175"/>
      <c r="AR207" s="18"/>
      <c r="AS207" s="12"/>
      <c r="AT207" s="12"/>
      <c r="AU207" s="12"/>
      <c r="AV207" s="12"/>
      <c r="AW207" s="137"/>
      <c r="AX207" s="13"/>
      <c r="AY207" s="138"/>
      <c r="AZ207" s="140"/>
      <c r="BA207" s="18"/>
      <c r="BB207" s="18" t="e">
        <f>IF(#REF!&lt;&gt;0,IF(LL[[#This Row],[Date of Birth]]&lt;&gt;0,YEAR(#REF!-LL[[#This Row],[Date of Birth]])-1900,""),"")</f>
        <v>#REF!</v>
      </c>
      <c r="BC207" s="2" t="str">
        <f>IF(LL[[#This Row],[Sx Onset Date]]&gt;0,LL[[#This Row],[Sx Onset Date]],"")</f>
        <v/>
      </c>
      <c r="BD207" s="2" t="str">
        <f>IF(LL[[#This Row],[Lab-confirmed?]]="Y",LL[[#This Row],[Test Date]],"")</f>
        <v/>
      </c>
      <c r="BE207" s="2" t="str">
        <f>IF(LL[[#This Row],[Lab-confirmed?]]="Y",LL[[#This Row],[Test Date 2]],"")</f>
        <v/>
      </c>
      <c r="BF207" s="139" t="str">
        <f>IF(LL[[#This Row],[Date Reported to Public Health]]&gt;0,LL[[#This Row],[Date Reported to Public Health]],"")</f>
        <v/>
      </c>
      <c r="BG207" s="13" t="str">
        <f t="shared" si="3"/>
        <v/>
      </c>
    </row>
    <row r="208" spans="1:59" x14ac:dyDescent="0.3">
      <c r="A208" s="11">
        <v>204</v>
      </c>
      <c r="B208" s="12"/>
      <c r="C208" s="13"/>
      <c r="D208" s="12"/>
      <c r="E208" s="12"/>
      <c r="F208" s="12"/>
      <c r="G208" s="16"/>
      <c r="H208" s="12"/>
      <c r="I208" s="14"/>
      <c r="J208" s="137"/>
      <c r="K208" s="137"/>
      <c r="L208" s="18"/>
      <c r="M208" s="139"/>
      <c r="N208" s="140"/>
      <c r="O208" s="137"/>
      <c r="P208" s="137"/>
      <c r="Q208" s="15"/>
      <c r="R208" s="12"/>
      <c r="S208" s="12"/>
      <c r="T208" s="12"/>
      <c r="U208" s="14"/>
      <c r="V208" s="15"/>
      <c r="W208" s="12"/>
      <c r="X208" s="12"/>
      <c r="Y208" s="12"/>
      <c r="Z208" s="12"/>
      <c r="AA208" s="12"/>
      <c r="AB208" s="14"/>
      <c r="AC208" s="15"/>
      <c r="AD208" s="12"/>
      <c r="AE208" s="12"/>
      <c r="AF208" s="14"/>
      <c r="AG208" s="18"/>
      <c r="AH208" s="18"/>
      <c r="AI208" s="17"/>
      <c r="AJ208" s="181"/>
      <c r="AK208" s="13"/>
      <c r="AL208" s="181"/>
      <c r="AM208" s="175"/>
      <c r="AN208" s="192"/>
      <c r="AO208" s="13"/>
      <c r="AP208" s="181"/>
      <c r="AQ208" s="175"/>
      <c r="AR208" s="18"/>
      <c r="AS208" s="12"/>
      <c r="AT208" s="12"/>
      <c r="AU208" s="12"/>
      <c r="AV208" s="12"/>
      <c r="AW208" s="137"/>
      <c r="AX208" s="13"/>
      <c r="AY208" s="138"/>
      <c r="AZ208" s="140"/>
      <c r="BA208" s="18"/>
      <c r="BB208" s="18" t="e">
        <f>IF(#REF!&lt;&gt;0,IF(LL[[#This Row],[Date of Birth]]&lt;&gt;0,YEAR(#REF!-LL[[#This Row],[Date of Birth]])-1900,""),"")</f>
        <v>#REF!</v>
      </c>
      <c r="BC208" s="2" t="str">
        <f>IF(LL[[#This Row],[Sx Onset Date]]&gt;0,LL[[#This Row],[Sx Onset Date]],"")</f>
        <v/>
      </c>
      <c r="BD208" s="2" t="str">
        <f>IF(LL[[#This Row],[Lab-confirmed?]]="Y",LL[[#This Row],[Test Date]],"")</f>
        <v/>
      </c>
      <c r="BE208" s="2" t="str">
        <f>IF(LL[[#This Row],[Lab-confirmed?]]="Y",LL[[#This Row],[Test Date 2]],"")</f>
        <v/>
      </c>
      <c r="BF208" s="139" t="str">
        <f>IF(LL[[#This Row],[Date Reported to Public Health]]&gt;0,LL[[#This Row],[Date Reported to Public Health]],"")</f>
        <v/>
      </c>
      <c r="BG208" s="13" t="str">
        <f t="shared" si="3"/>
        <v/>
      </c>
    </row>
    <row r="209" spans="1:59" x14ac:dyDescent="0.3">
      <c r="A209" s="11">
        <v>205</v>
      </c>
      <c r="B209" s="12"/>
      <c r="C209" s="13"/>
      <c r="D209" s="12"/>
      <c r="E209" s="12"/>
      <c r="F209" s="12"/>
      <c r="G209" s="16"/>
      <c r="H209" s="12"/>
      <c r="I209" s="14"/>
      <c r="J209" s="137"/>
      <c r="K209" s="137"/>
      <c r="L209" s="18"/>
      <c r="M209" s="139"/>
      <c r="N209" s="140"/>
      <c r="O209" s="137"/>
      <c r="P209" s="137"/>
      <c r="Q209" s="15"/>
      <c r="R209" s="12"/>
      <c r="S209" s="12"/>
      <c r="T209" s="12"/>
      <c r="U209" s="14"/>
      <c r="V209" s="15"/>
      <c r="W209" s="12"/>
      <c r="X209" s="12"/>
      <c r="Y209" s="12"/>
      <c r="Z209" s="12"/>
      <c r="AA209" s="12"/>
      <c r="AB209" s="14"/>
      <c r="AC209" s="15"/>
      <c r="AD209" s="12"/>
      <c r="AE209" s="12"/>
      <c r="AF209" s="14"/>
      <c r="AG209" s="18"/>
      <c r="AH209" s="18"/>
      <c r="AI209" s="17"/>
      <c r="AJ209" s="181"/>
      <c r="AK209" s="13"/>
      <c r="AL209" s="181"/>
      <c r="AM209" s="175"/>
      <c r="AN209" s="192"/>
      <c r="AO209" s="13"/>
      <c r="AP209" s="181"/>
      <c r="AQ209" s="175"/>
      <c r="AR209" s="18"/>
      <c r="AS209" s="12"/>
      <c r="AT209" s="12"/>
      <c r="AU209" s="12"/>
      <c r="AV209" s="12"/>
      <c r="AW209" s="137"/>
      <c r="AX209" s="13"/>
      <c r="AY209" s="138"/>
      <c r="AZ209" s="140"/>
      <c r="BA209" s="18"/>
      <c r="BB209" s="18" t="e">
        <f>IF(#REF!&lt;&gt;0,IF(LL[[#This Row],[Date of Birth]]&lt;&gt;0,YEAR(#REF!-LL[[#This Row],[Date of Birth]])-1900,""),"")</f>
        <v>#REF!</v>
      </c>
      <c r="BC209" s="2" t="str">
        <f>IF(LL[[#This Row],[Sx Onset Date]]&gt;0,LL[[#This Row],[Sx Onset Date]],"")</f>
        <v/>
      </c>
      <c r="BD209" s="2" t="str">
        <f>IF(LL[[#This Row],[Lab-confirmed?]]="Y",LL[[#This Row],[Test Date]],"")</f>
        <v/>
      </c>
      <c r="BE209" s="2" t="str">
        <f>IF(LL[[#This Row],[Lab-confirmed?]]="Y",LL[[#This Row],[Test Date 2]],"")</f>
        <v/>
      </c>
      <c r="BF209" s="139" t="str">
        <f>IF(LL[[#This Row],[Date Reported to Public Health]]&gt;0,LL[[#This Row],[Date Reported to Public Health]],"")</f>
        <v/>
      </c>
      <c r="BG209" s="13" t="str">
        <f t="shared" si="3"/>
        <v/>
      </c>
    </row>
    <row r="210" spans="1:59" x14ac:dyDescent="0.3">
      <c r="A210" s="11">
        <v>206</v>
      </c>
      <c r="B210" s="12"/>
      <c r="C210" s="13"/>
      <c r="D210" s="12"/>
      <c r="E210" s="12"/>
      <c r="F210" s="12"/>
      <c r="G210" s="16"/>
      <c r="H210" s="12"/>
      <c r="I210" s="14"/>
      <c r="J210" s="137"/>
      <c r="K210" s="137"/>
      <c r="L210" s="18"/>
      <c r="M210" s="139"/>
      <c r="N210" s="140"/>
      <c r="O210" s="137"/>
      <c r="P210" s="137"/>
      <c r="Q210" s="15"/>
      <c r="R210" s="12"/>
      <c r="S210" s="12"/>
      <c r="T210" s="12"/>
      <c r="U210" s="14"/>
      <c r="V210" s="15"/>
      <c r="W210" s="12"/>
      <c r="X210" s="12"/>
      <c r="Y210" s="12"/>
      <c r="Z210" s="12"/>
      <c r="AA210" s="12"/>
      <c r="AB210" s="14"/>
      <c r="AC210" s="15"/>
      <c r="AD210" s="12"/>
      <c r="AE210" s="12"/>
      <c r="AF210" s="14"/>
      <c r="AG210" s="18"/>
      <c r="AH210" s="18"/>
      <c r="AI210" s="17"/>
      <c r="AJ210" s="181"/>
      <c r="AK210" s="13"/>
      <c r="AL210" s="181"/>
      <c r="AM210" s="175"/>
      <c r="AN210" s="192"/>
      <c r="AO210" s="13"/>
      <c r="AP210" s="181"/>
      <c r="AQ210" s="175"/>
      <c r="AR210" s="18"/>
      <c r="AS210" s="12"/>
      <c r="AT210" s="12"/>
      <c r="AU210" s="12"/>
      <c r="AV210" s="12"/>
      <c r="AW210" s="137"/>
      <c r="AX210" s="13"/>
      <c r="AY210" s="138"/>
      <c r="AZ210" s="140"/>
      <c r="BA210" s="18"/>
      <c r="BB210" s="18" t="e">
        <f>IF(#REF!&lt;&gt;0,IF(LL[[#This Row],[Date of Birth]]&lt;&gt;0,YEAR(#REF!-LL[[#This Row],[Date of Birth]])-1900,""),"")</f>
        <v>#REF!</v>
      </c>
      <c r="BC210" s="2" t="str">
        <f>IF(LL[[#This Row],[Sx Onset Date]]&gt;0,LL[[#This Row],[Sx Onset Date]],"")</f>
        <v/>
      </c>
      <c r="BD210" s="2" t="str">
        <f>IF(LL[[#This Row],[Lab-confirmed?]]="Y",LL[[#This Row],[Test Date]],"")</f>
        <v/>
      </c>
      <c r="BE210" s="2" t="str">
        <f>IF(LL[[#This Row],[Lab-confirmed?]]="Y",LL[[#This Row],[Test Date 2]],"")</f>
        <v/>
      </c>
      <c r="BF210" s="139" t="str">
        <f>IF(LL[[#This Row],[Date Reported to Public Health]]&gt;0,LL[[#This Row],[Date Reported to Public Health]],"")</f>
        <v/>
      </c>
      <c r="BG210" s="13" t="str">
        <f t="shared" si="3"/>
        <v/>
      </c>
    </row>
    <row r="211" spans="1:59" x14ac:dyDescent="0.3">
      <c r="A211" s="11">
        <v>207</v>
      </c>
      <c r="B211" s="12"/>
      <c r="C211" s="13"/>
      <c r="D211" s="12"/>
      <c r="E211" s="12"/>
      <c r="F211" s="12"/>
      <c r="G211" s="16"/>
      <c r="H211" s="12"/>
      <c r="I211" s="14"/>
      <c r="J211" s="137"/>
      <c r="K211" s="137"/>
      <c r="L211" s="18"/>
      <c r="M211" s="139"/>
      <c r="N211" s="140"/>
      <c r="O211" s="137"/>
      <c r="P211" s="137"/>
      <c r="Q211" s="15"/>
      <c r="R211" s="12"/>
      <c r="S211" s="12"/>
      <c r="T211" s="12"/>
      <c r="U211" s="14"/>
      <c r="V211" s="15"/>
      <c r="W211" s="12"/>
      <c r="X211" s="12"/>
      <c r="Y211" s="12"/>
      <c r="Z211" s="12"/>
      <c r="AA211" s="12"/>
      <c r="AB211" s="14"/>
      <c r="AC211" s="15"/>
      <c r="AD211" s="12"/>
      <c r="AE211" s="12"/>
      <c r="AF211" s="14"/>
      <c r="AG211" s="18"/>
      <c r="AH211" s="18"/>
      <c r="AI211" s="17"/>
      <c r="AJ211" s="181"/>
      <c r="AK211" s="13"/>
      <c r="AL211" s="181"/>
      <c r="AM211" s="175"/>
      <c r="AN211" s="192"/>
      <c r="AO211" s="13"/>
      <c r="AP211" s="181"/>
      <c r="AQ211" s="175"/>
      <c r="AR211" s="18"/>
      <c r="AS211" s="12"/>
      <c r="AT211" s="12"/>
      <c r="AU211" s="12"/>
      <c r="AV211" s="12"/>
      <c r="AW211" s="137"/>
      <c r="AX211" s="13"/>
      <c r="AY211" s="138"/>
      <c r="AZ211" s="140"/>
      <c r="BA211" s="18"/>
      <c r="BB211" s="18" t="e">
        <f>IF(#REF!&lt;&gt;0,IF(LL[[#This Row],[Date of Birth]]&lt;&gt;0,YEAR(#REF!-LL[[#This Row],[Date of Birth]])-1900,""),"")</f>
        <v>#REF!</v>
      </c>
      <c r="BC211" s="2" t="str">
        <f>IF(LL[[#This Row],[Sx Onset Date]]&gt;0,LL[[#This Row],[Sx Onset Date]],"")</f>
        <v/>
      </c>
      <c r="BD211" s="2" t="str">
        <f>IF(LL[[#This Row],[Lab-confirmed?]]="Y",LL[[#This Row],[Test Date]],"")</f>
        <v/>
      </c>
      <c r="BE211" s="2" t="str">
        <f>IF(LL[[#This Row],[Lab-confirmed?]]="Y",LL[[#This Row],[Test Date 2]],"")</f>
        <v/>
      </c>
      <c r="BF211" s="139" t="str">
        <f>IF(LL[[#This Row],[Date Reported to Public Health]]&gt;0,LL[[#This Row],[Date Reported to Public Health]],"")</f>
        <v/>
      </c>
      <c r="BG211" s="13" t="str">
        <f t="shared" si="3"/>
        <v/>
      </c>
    </row>
    <row r="212" spans="1:59" x14ac:dyDescent="0.3">
      <c r="A212" s="11">
        <v>208</v>
      </c>
      <c r="B212" s="12"/>
      <c r="C212" s="13"/>
      <c r="D212" s="12"/>
      <c r="E212" s="12"/>
      <c r="F212" s="12"/>
      <c r="G212" s="16"/>
      <c r="H212" s="12"/>
      <c r="I212" s="14"/>
      <c r="J212" s="137"/>
      <c r="K212" s="137"/>
      <c r="L212" s="18"/>
      <c r="M212" s="139"/>
      <c r="N212" s="140"/>
      <c r="O212" s="137"/>
      <c r="P212" s="137"/>
      <c r="Q212" s="15"/>
      <c r="R212" s="12"/>
      <c r="S212" s="12"/>
      <c r="T212" s="12"/>
      <c r="U212" s="14"/>
      <c r="V212" s="15"/>
      <c r="W212" s="12"/>
      <c r="X212" s="12"/>
      <c r="Y212" s="12"/>
      <c r="Z212" s="12"/>
      <c r="AA212" s="12"/>
      <c r="AB212" s="14"/>
      <c r="AC212" s="15"/>
      <c r="AD212" s="12"/>
      <c r="AE212" s="12"/>
      <c r="AF212" s="14"/>
      <c r="AG212" s="18"/>
      <c r="AH212" s="18"/>
      <c r="AI212" s="17"/>
      <c r="AJ212" s="181"/>
      <c r="AK212" s="13"/>
      <c r="AL212" s="181"/>
      <c r="AM212" s="175"/>
      <c r="AN212" s="192"/>
      <c r="AO212" s="13"/>
      <c r="AP212" s="181"/>
      <c r="AQ212" s="175"/>
      <c r="AR212" s="18"/>
      <c r="AS212" s="12"/>
      <c r="AT212" s="12"/>
      <c r="AU212" s="12"/>
      <c r="AV212" s="12"/>
      <c r="AW212" s="137"/>
      <c r="AX212" s="13"/>
      <c r="AY212" s="138"/>
      <c r="AZ212" s="140"/>
      <c r="BA212" s="18"/>
      <c r="BB212" s="18" t="e">
        <f>IF(#REF!&lt;&gt;0,IF(LL[[#This Row],[Date of Birth]]&lt;&gt;0,YEAR(#REF!-LL[[#This Row],[Date of Birth]])-1900,""),"")</f>
        <v>#REF!</v>
      </c>
      <c r="BC212" s="2" t="str">
        <f>IF(LL[[#This Row],[Sx Onset Date]]&gt;0,LL[[#This Row],[Sx Onset Date]],"")</f>
        <v/>
      </c>
      <c r="BD212" s="2" t="str">
        <f>IF(LL[[#This Row],[Lab-confirmed?]]="Y",LL[[#This Row],[Test Date]],"")</f>
        <v/>
      </c>
      <c r="BE212" s="2" t="str">
        <f>IF(LL[[#This Row],[Lab-confirmed?]]="Y",LL[[#This Row],[Test Date 2]],"")</f>
        <v/>
      </c>
      <c r="BF212" s="139" t="str">
        <f>IF(LL[[#This Row],[Date Reported to Public Health]]&gt;0,LL[[#This Row],[Date Reported to Public Health]],"")</f>
        <v/>
      </c>
      <c r="BG212" s="13" t="str">
        <f t="shared" si="3"/>
        <v/>
      </c>
    </row>
    <row r="213" spans="1:59" x14ac:dyDescent="0.3">
      <c r="A213" s="11">
        <v>209</v>
      </c>
      <c r="B213" s="12"/>
      <c r="C213" s="13"/>
      <c r="D213" s="12"/>
      <c r="E213" s="12"/>
      <c r="F213" s="12"/>
      <c r="G213" s="16"/>
      <c r="H213" s="12"/>
      <c r="I213" s="14"/>
      <c r="J213" s="137"/>
      <c r="K213" s="137"/>
      <c r="L213" s="18"/>
      <c r="M213" s="139"/>
      <c r="N213" s="140"/>
      <c r="O213" s="137"/>
      <c r="P213" s="137"/>
      <c r="Q213" s="15"/>
      <c r="R213" s="12"/>
      <c r="S213" s="12"/>
      <c r="T213" s="12"/>
      <c r="U213" s="14"/>
      <c r="V213" s="15"/>
      <c r="W213" s="12"/>
      <c r="X213" s="12"/>
      <c r="Y213" s="12"/>
      <c r="Z213" s="12"/>
      <c r="AA213" s="12"/>
      <c r="AB213" s="14"/>
      <c r="AC213" s="15"/>
      <c r="AD213" s="12"/>
      <c r="AE213" s="12"/>
      <c r="AF213" s="14"/>
      <c r="AG213" s="18"/>
      <c r="AH213" s="18"/>
      <c r="AI213" s="17"/>
      <c r="AJ213" s="181"/>
      <c r="AK213" s="13"/>
      <c r="AL213" s="181"/>
      <c r="AM213" s="175"/>
      <c r="AN213" s="192"/>
      <c r="AO213" s="13"/>
      <c r="AP213" s="181"/>
      <c r="AQ213" s="175"/>
      <c r="AR213" s="18"/>
      <c r="AS213" s="12"/>
      <c r="AT213" s="12"/>
      <c r="AU213" s="12"/>
      <c r="AV213" s="12"/>
      <c r="AW213" s="137"/>
      <c r="AX213" s="13"/>
      <c r="AY213" s="138"/>
      <c r="AZ213" s="140"/>
      <c r="BA213" s="18"/>
      <c r="BB213" s="18" t="e">
        <f>IF(#REF!&lt;&gt;0,IF(LL[[#This Row],[Date of Birth]]&lt;&gt;0,YEAR(#REF!-LL[[#This Row],[Date of Birth]])-1900,""),"")</f>
        <v>#REF!</v>
      </c>
      <c r="BC213" s="2" t="str">
        <f>IF(LL[[#This Row],[Sx Onset Date]]&gt;0,LL[[#This Row],[Sx Onset Date]],"")</f>
        <v/>
      </c>
      <c r="BD213" s="2" t="str">
        <f>IF(LL[[#This Row],[Lab-confirmed?]]="Y",LL[[#This Row],[Test Date]],"")</f>
        <v/>
      </c>
      <c r="BE213" s="2" t="str">
        <f>IF(LL[[#This Row],[Lab-confirmed?]]="Y",LL[[#This Row],[Test Date 2]],"")</f>
        <v/>
      </c>
      <c r="BF213" s="139" t="str">
        <f>IF(LL[[#This Row],[Date Reported to Public Health]]&gt;0,LL[[#This Row],[Date Reported to Public Health]],"")</f>
        <v/>
      </c>
      <c r="BG213" s="13" t="str">
        <f t="shared" si="3"/>
        <v/>
      </c>
    </row>
    <row r="214" spans="1:59" x14ac:dyDescent="0.3">
      <c r="A214" s="11">
        <v>210</v>
      </c>
      <c r="B214" s="12"/>
      <c r="C214" s="13"/>
      <c r="D214" s="12"/>
      <c r="E214" s="12"/>
      <c r="F214" s="12"/>
      <c r="G214" s="16"/>
      <c r="H214" s="12"/>
      <c r="I214" s="14"/>
      <c r="J214" s="137"/>
      <c r="K214" s="137"/>
      <c r="L214" s="18"/>
      <c r="M214" s="139"/>
      <c r="N214" s="140"/>
      <c r="O214" s="137"/>
      <c r="P214" s="137"/>
      <c r="Q214" s="15"/>
      <c r="R214" s="12"/>
      <c r="S214" s="12"/>
      <c r="T214" s="12"/>
      <c r="U214" s="14"/>
      <c r="V214" s="15"/>
      <c r="W214" s="12"/>
      <c r="X214" s="12"/>
      <c r="Y214" s="12"/>
      <c r="Z214" s="12"/>
      <c r="AA214" s="12"/>
      <c r="AB214" s="14"/>
      <c r="AC214" s="15"/>
      <c r="AD214" s="12"/>
      <c r="AE214" s="12"/>
      <c r="AF214" s="14"/>
      <c r="AG214" s="18"/>
      <c r="AH214" s="18"/>
      <c r="AI214" s="17"/>
      <c r="AJ214" s="181"/>
      <c r="AK214" s="13"/>
      <c r="AL214" s="181"/>
      <c r="AM214" s="175"/>
      <c r="AN214" s="192"/>
      <c r="AO214" s="13"/>
      <c r="AP214" s="181"/>
      <c r="AQ214" s="175"/>
      <c r="AR214" s="18"/>
      <c r="AS214" s="12"/>
      <c r="AT214" s="12"/>
      <c r="AU214" s="12"/>
      <c r="AV214" s="12"/>
      <c r="AW214" s="137"/>
      <c r="AX214" s="13"/>
      <c r="AY214" s="138"/>
      <c r="AZ214" s="140"/>
      <c r="BA214" s="18"/>
      <c r="BB214" s="18" t="e">
        <f>IF(#REF!&lt;&gt;0,IF(LL[[#This Row],[Date of Birth]]&lt;&gt;0,YEAR(#REF!-LL[[#This Row],[Date of Birth]])-1900,""),"")</f>
        <v>#REF!</v>
      </c>
      <c r="BC214" s="2" t="str">
        <f>IF(LL[[#This Row],[Sx Onset Date]]&gt;0,LL[[#This Row],[Sx Onset Date]],"")</f>
        <v/>
      </c>
      <c r="BD214" s="2" t="str">
        <f>IF(LL[[#This Row],[Lab-confirmed?]]="Y",LL[[#This Row],[Test Date]],"")</f>
        <v/>
      </c>
      <c r="BE214" s="2" t="str">
        <f>IF(LL[[#This Row],[Lab-confirmed?]]="Y",LL[[#This Row],[Test Date 2]],"")</f>
        <v/>
      </c>
      <c r="BF214" s="139" t="str">
        <f>IF(LL[[#This Row],[Date Reported to Public Health]]&gt;0,LL[[#This Row],[Date Reported to Public Health]],"")</f>
        <v/>
      </c>
      <c r="BG214" s="13" t="str">
        <f t="shared" si="3"/>
        <v/>
      </c>
    </row>
    <row r="215" spans="1:59" x14ac:dyDescent="0.3">
      <c r="A215" s="11">
        <v>211</v>
      </c>
      <c r="B215" s="12"/>
      <c r="C215" s="13"/>
      <c r="D215" s="12"/>
      <c r="E215" s="12"/>
      <c r="F215" s="12"/>
      <c r="G215" s="16"/>
      <c r="H215" s="12"/>
      <c r="I215" s="14"/>
      <c r="J215" s="137"/>
      <c r="K215" s="137"/>
      <c r="L215" s="18"/>
      <c r="M215" s="139"/>
      <c r="N215" s="140"/>
      <c r="O215" s="137"/>
      <c r="P215" s="137"/>
      <c r="Q215" s="15"/>
      <c r="R215" s="12"/>
      <c r="S215" s="12"/>
      <c r="T215" s="12"/>
      <c r="U215" s="14"/>
      <c r="V215" s="15"/>
      <c r="W215" s="12"/>
      <c r="X215" s="12"/>
      <c r="Y215" s="12"/>
      <c r="Z215" s="12"/>
      <c r="AA215" s="12"/>
      <c r="AB215" s="14"/>
      <c r="AC215" s="15"/>
      <c r="AD215" s="12"/>
      <c r="AE215" s="12"/>
      <c r="AF215" s="14"/>
      <c r="AG215" s="18"/>
      <c r="AH215" s="18"/>
      <c r="AI215" s="17"/>
      <c r="AJ215" s="181"/>
      <c r="AK215" s="13"/>
      <c r="AL215" s="181"/>
      <c r="AM215" s="175"/>
      <c r="AN215" s="192"/>
      <c r="AO215" s="13"/>
      <c r="AP215" s="181"/>
      <c r="AQ215" s="175"/>
      <c r="AR215" s="18"/>
      <c r="AS215" s="12"/>
      <c r="AT215" s="12"/>
      <c r="AU215" s="12"/>
      <c r="AV215" s="12"/>
      <c r="AW215" s="137"/>
      <c r="AX215" s="13"/>
      <c r="AY215" s="138"/>
      <c r="AZ215" s="140"/>
      <c r="BA215" s="18"/>
      <c r="BB215" s="18" t="e">
        <f>IF(#REF!&lt;&gt;0,IF(LL[[#This Row],[Date of Birth]]&lt;&gt;0,YEAR(#REF!-LL[[#This Row],[Date of Birth]])-1900,""),"")</f>
        <v>#REF!</v>
      </c>
      <c r="BC215" s="2" t="str">
        <f>IF(LL[[#This Row],[Sx Onset Date]]&gt;0,LL[[#This Row],[Sx Onset Date]],"")</f>
        <v/>
      </c>
      <c r="BD215" s="2" t="str">
        <f>IF(LL[[#This Row],[Lab-confirmed?]]="Y",LL[[#This Row],[Test Date]],"")</f>
        <v/>
      </c>
      <c r="BE215" s="2" t="str">
        <f>IF(LL[[#This Row],[Lab-confirmed?]]="Y",LL[[#This Row],[Test Date 2]],"")</f>
        <v/>
      </c>
      <c r="BF215" s="139" t="str">
        <f>IF(LL[[#This Row],[Date Reported to Public Health]]&gt;0,LL[[#This Row],[Date Reported to Public Health]],"")</f>
        <v/>
      </c>
      <c r="BG215" s="13" t="str">
        <f t="shared" si="3"/>
        <v/>
      </c>
    </row>
    <row r="216" spans="1:59" x14ac:dyDescent="0.3">
      <c r="A216" s="11">
        <v>212</v>
      </c>
      <c r="B216" s="12"/>
      <c r="C216" s="13"/>
      <c r="D216" s="12"/>
      <c r="E216" s="12"/>
      <c r="F216" s="12"/>
      <c r="G216" s="16"/>
      <c r="H216" s="12"/>
      <c r="I216" s="14"/>
      <c r="J216" s="137"/>
      <c r="K216" s="137"/>
      <c r="L216" s="18"/>
      <c r="M216" s="139"/>
      <c r="N216" s="140"/>
      <c r="O216" s="137"/>
      <c r="P216" s="137"/>
      <c r="Q216" s="15"/>
      <c r="R216" s="12"/>
      <c r="S216" s="12"/>
      <c r="T216" s="12"/>
      <c r="U216" s="14"/>
      <c r="V216" s="15"/>
      <c r="W216" s="12"/>
      <c r="X216" s="12"/>
      <c r="Y216" s="12"/>
      <c r="Z216" s="12"/>
      <c r="AA216" s="12"/>
      <c r="AB216" s="14"/>
      <c r="AC216" s="15"/>
      <c r="AD216" s="12"/>
      <c r="AE216" s="12"/>
      <c r="AF216" s="14"/>
      <c r="AG216" s="18"/>
      <c r="AH216" s="18"/>
      <c r="AI216" s="17"/>
      <c r="AJ216" s="181"/>
      <c r="AK216" s="13"/>
      <c r="AL216" s="181"/>
      <c r="AM216" s="175"/>
      <c r="AN216" s="192"/>
      <c r="AO216" s="13"/>
      <c r="AP216" s="181"/>
      <c r="AQ216" s="175"/>
      <c r="AR216" s="18"/>
      <c r="AS216" s="12"/>
      <c r="AT216" s="12"/>
      <c r="AU216" s="12"/>
      <c r="AV216" s="12"/>
      <c r="AW216" s="137"/>
      <c r="AX216" s="13"/>
      <c r="AY216" s="138"/>
      <c r="AZ216" s="140"/>
      <c r="BA216" s="18"/>
      <c r="BB216" s="18" t="e">
        <f>IF(#REF!&lt;&gt;0,IF(LL[[#This Row],[Date of Birth]]&lt;&gt;0,YEAR(#REF!-LL[[#This Row],[Date of Birth]])-1900,""),"")</f>
        <v>#REF!</v>
      </c>
      <c r="BC216" s="2" t="str">
        <f>IF(LL[[#This Row],[Sx Onset Date]]&gt;0,LL[[#This Row],[Sx Onset Date]],"")</f>
        <v/>
      </c>
      <c r="BD216" s="2" t="str">
        <f>IF(LL[[#This Row],[Lab-confirmed?]]="Y",LL[[#This Row],[Test Date]],"")</f>
        <v/>
      </c>
      <c r="BE216" s="2" t="str">
        <f>IF(LL[[#This Row],[Lab-confirmed?]]="Y",LL[[#This Row],[Test Date 2]],"")</f>
        <v/>
      </c>
      <c r="BF216" s="139" t="str">
        <f>IF(LL[[#This Row],[Date Reported to Public Health]]&gt;0,LL[[#This Row],[Date Reported to Public Health]],"")</f>
        <v/>
      </c>
      <c r="BG216" s="13" t="str">
        <f t="shared" si="3"/>
        <v/>
      </c>
    </row>
    <row r="217" spans="1:59" x14ac:dyDescent="0.3">
      <c r="A217" s="11">
        <v>213</v>
      </c>
      <c r="B217" s="12"/>
      <c r="C217" s="13"/>
      <c r="D217" s="12"/>
      <c r="E217" s="12"/>
      <c r="F217" s="12"/>
      <c r="G217" s="16"/>
      <c r="H217" s="12"/>
      <c r="I217" s="14"/>
      <c r="J217" s="137"/>
      <c r="K217" s="137"/>
      <c r="L217" s="18"/>
      <c r="M217" s="139"/>
      <c r="N217" s="140"/>
      <c r="O217" s="137"/>
      <c r="P217" s="137"/>
      <c r="Q217" s="15"/>
      <c r="R217" s="12"/>
      <c r="S217" s="12"/>
      <c r="T217" s="12"/>
      <c r="U217" s="14"/>
      <c r="V217" s="15"/>
      <c r="W217" s="12"/>
      <c r="X217" s="12"/>
      <c r="Y217" s="12"/>
      <c r="Z217" s="12"/>
      <c r="AA217" s="12"/>
      <c r="AB217" s="14"/>
      <c r="AC217" s="15"/>
      <c r="AD217" s="12"/>
      <c r="AE217" s="12"/>
      <c r="AF217" s="14"/>
      <c r="AG217" s="18"/>
      <c r="AH217" s="18"/>
      <c r="AI217" s="17"/>
      <c r="AJ217" s="181"/>
      <c r="AK217" s="13"/>
      <c r="AL217" s="181"/>
      <c r="AM217" s="175"/>
      <c r="AN217" s="192"/>
      <c r="AO217" s="13"/>
      <c r="AP217" s="181"/>
      <c r="AQ217" s="175"/>
      <c r="AR217" s="18"/>
      <c r="AS217" s="12"/>
      <c r="AT217" s="12"/>
      <c r="AU217" s="12"/>
      <c r="AV217" s="12"/>
      <c r="AW217" s="137"/>
      <c r="AX217" s="13"/>
      <c r="AY217" s="138"/>
      <c r="AZ217" s="140"/>
      <c r="BA217" s="18"/>
      <c r="BB217" s="18" t="e">
        <f>IF(#REF!&lt;&gt;0,IF(LL[[#This Row],[Date of Birth]]&lt;&gt;0,YEAR(#REF!-LL[[#This Row],[Date of Birth]])-1900,""),"")</f>
        <v>#REF!</v>
      </c>
      <c r="BC217" s="2" t="str">
        <f>IF(LL[[#This Row],[Sx Onset Date]]&gt;0,LL[[#This Row],[Sx Onset Date]],"")</f>
        <v/>
      </c>
      <c r="BD217" s="2" t="str">
        <f>IF(LL[[#This Row],[Lab-confirmed?]]="Y",LL[[#This Row],[Test Date]],"")</f>
        <v/>
      </c>
      <c r="BE217" s="2" t="str">
        <f>IF(LL[[#This Row],[Lab-confirmed?]]="Y",LL[[#This Row],[Test Date 2]],"")</f>
        <v/>
      </c>
      <c r="BF217" s="139" t="str">
        <f>IF(LL[[#This Row],[Date Reported to Public Health]]&gt;0,LL[[#This Row],[Date Reported to Public Health]],"")</f>
        <v/>
      </c>
      <c r="BG217" s="13" t="str">
        <f t="shared" si="3"/>
        <v/>
      </c>
    </row>
    <row r="218" spans="1:59" x14ac:dyDescent="0.3">
      <c r="A218" s="11">
        <v>214</v>
      </c>
      <c r="B218" s="12"/>
      <c r="C218" s="13"/>
      <c r="D218" s="12"/>
      <c r="E218" s="12"/>
      <c r="F218" s="12"/>
      <c r="G218" s="16"/>
      <c r="H218" s="12"/>
      <c r="I218" s="14"/>
      <c r="J218" s="137"/>
      <c r="K218" s="137"/>
      <c r="L218" s="18"/>
      <c r="M218" s="139"/>
      <c r="N218" s="140"/>
      <c r="O218" s="137"/>
      <c r="P218" s="137"/>
      <c r="Q218" s="15"/>
      <c r="R218" s="12"/>
      <c r="S218" s="12"/>
      <c r="T218" s="12"/>
      <c r="U218" s="14"/>
      <c r="V218" s="15"/>
      <c r="W218" s="12"/>
      <c r="X218" s="12"/>
      <c r="Y218" s="12"/>
      <c r="Z218" s="12"/>
      <c r="AA218" s="12"/>
      <c r="AB218" s="14"/>
      <c r="AC218" s="15"/>
      <c r="AD218" s="12"/>
      <c r="AE218" s="12"/>
      <c r="AF218" s="14"/>
      <c r="AG218" s="18"/>
      <c r="AH218" s="18"/>
      <c r="AI218" s="17"/>
      <c r="AJ218" s="181"/>
      <c r="AK218" s="13"/>
      <c r="AL218" s="181"/>
      <c r="AM218" s="175"/>
      <c r="AN218" s="192"/>
      <c r="AO218" s="13"/>
      <c r="AP218" s="181"/>
      <c r="AQ218" s="175"/>
      <c r="AR218" s="18"/>
      <c r="AS218" s="12"/>
      <c r="AT218" s="12"/>
      <c r="AU218" s="12"/>
      <c r="AV218" s="12"/>
      <c r="AW218" s="137"/>
      <c r="AX218" s="13"/>
      <c r="AY218" s="138"/>
      <c r="AZ218" s="140"/>
      <c r="BA218" s="18"/>
      <c r="BB218" s="18" t="e">
        <f>IF(#REF!&lt;&gt;0,IF(LL[[#This Row],[Date of Birth]]&lt;&gt;0,YEAR(#REF!-LL[[#This Row],[Date of Birth]])-1900,""),"")</f>
        <v>#REF!</v>
      </c>
      <c r="BC218" s="2" t="str">
        <f>IF(LL[[#This Row],[Sx Onset Date]]&gt;0,LL[[#This Row],[Sx Onset Date]],"")</f>
        <v/>
      </c>
      <c r="BD218" s="2" t="str">
        <f>IF(LL[[#This Row],[Lab-confirmed?]]="Y",LL[[#This Row],[Test Date]],"")</f>
        <v/>
      </c>
      <c r="BE218" s="2" t="str">
        <f>IF(LL[[#This Row],[Lab-confirmed?]]="Y",LL[[#This Row],[Test Date 2]],"")</f>
        <v/>
      </c>
      <c r="BF218" s="139" t="str">
        <f>IF(LL[[#This Row],[Date Reported to Public Health]]&gt;0,LL[[#This Row],[Date Reported to Public Health]],"")</f>
        <v/>
      </c>
      <c r="BG218" s="13" t="str">
        <f t="shared" si="3"/>
        <v/>
      </c>
    </row>
    <row r="219" spans="1:59" x14ac:dyDescent="0.3">
      <c r="A219" s="11">
        <v>215</v>
      </c>
      <c r="B219" s="12"/>
      <c r="C219" s="13"/>
      <c r="D219" s="12"/>
      <c r="E219" s="12"/>
      <c r="F219" s="12"/>
      <c r="G219" s="16"/>
      <c r="H219" s="12"/>
      <c r="I219" s="14"/>
      <c r="J219" s="137"/>
      <c r="K219" s="137"/>
      <c r="L219" s="18"/>
      <c r="M219" s="139"/>
      <c r="N219" s="140"/>
      <c r="O219" s="137"/>
      <c r="P219" s="137"/>
      <c r="Q219" s="15"/>
      <c r="R219" s="12"/>
      <c r="S219" s="12"/>
      <c r="T219" s="12"/>
      <c r="U219" s="14"/>
      <c r="V219" s="15"/>
      <c r="W219" s="12"/>
      <c r="X219" s="12"/>
      <c r="Y219" s="12"/>
      <c r="Z219" s="12"/>
      <c r="AA219" s="12"/>
      <c r="AB219" s="14"/>
      <c r="AC219" s="15"/>
      <c r="AD219" s="12"/>
      <c r="AE219" s="12"/>
      <c r="AF219" s="14"/>
      <c r="AG219" s="18"/>
      <c r="AH219" s="18"/>
      <c r="AI219" s="17"/>
      <c r="AJ219" s="181"/>
      <c r="AK219" s="13"/>
      <c r="AL219" s="181"/>
      <c r="AM219" s="175"/>
      <c r="AN219" s="192"/>
      <c r="AO219" s="13"/>
      <c r="AP219" s="181"/>
      <c r="AQ219" s="175"/>
      <c r="AR219" s="18"/>
      <c r="AS219" s="12"/>
      <c r="AT219" s="12"/>
      <c r="AU219" s="12"/>
      <c r="AV219" s="12"/>
      <c r="AW219" s="137"/>
      <c r="AX219" s="13"/>
      <c r="AY219" s="138"/>
      <c r="AZ219" s="140"/>
      <c r="BA219" s="18"/>
      <c r="BB219" s="18" t="e">
        <f>IF(#REF!&lt;&gt;0,IF(LL[[#This Row],[Date of Birth]]&lt;&gt;0,YEAR(#REF!-LL[[#This Row],[Date of Birth]])-1900,""),"")</f>
        <v>#REF!</v>
      </c>
      <c r="BC219" s="2" t="str">
        <f>IF(LL[[#This Row],[Sx Onset Date]]&gt;0,LL[[#This Row],[Sx Onset Date]],"")</f>
        <v/>
      </c>
      <c r="BD219" s="2" t="str">
        <f>IF(LL[[#This Row],[Lab-confirmed?]]="Y",LL[[#This Row],[Test Date]],"")</f>
        <v/>
      </c>
      <c r="BE219" s="2" t="str">
        <f>IF(LL[[#This Row],[Lab-confirmed?]]="Y",LL[[#This Row],[Test Date 2]],"")</f>
        <v/>
      </c>
      <c r="BF219" s="139" t="str">
        <f>IF(LL[[#This Row],[Date Reported to Public Health]]&gt;0,LL[[#This Row],[Date Reported to Public Health]],"")</f>
        <v/>
      </c>
      <c r="BG219" s="13" t="str">
        <f t="shared" si="3"/>
        <v/>
      </c>
    </row>
    <row r="220" spans="1:59" x14ac:dyDescent="0.3">
      <c r="A220" s="11">
        <v>216</v>
      </c>
      <c r="B220" s="12"/>
      <c r="C220" s="13"/>
      <c r="D220" s="12"/>
      <c r="E220" s="12"/>
      <c r="F220" s="12"/>
      <c r="G220" s="16"/>
      <c r="H220" s="12"/>
      <c r="I220" s="14"/>
      <c r="J220" s="137"/>
      <c r="K220" s="137"/>
      <c r="L220" s="18"/>
      <c r="M220" s="139"/>
      <c r="N220" s="140"/>
      <c r="O220" s="137"/>
      <c r="P220" s="137"/>
      <c r="Q220" s="15"/>
      <c r="R220" s="12"/>
      <c r="S220" s="12"/>
      <c r="T220" s="12"/>
      <c r="U220" s="14"/>
      <c r="V220" s="15"/>
      <c r="W220" s="12"/>
      <c r="X220" s="12"/>
      <c r="Y220" s="12"/>
      <c r="Z220" s="12"/>
      <c r="AA220" s="12"/>
      <c r="AB220" s="14"/>
      <c r="AC220" s="15"/>
      <c r="AD220" s="12"/>
      <c r="AE220" s="12"/>
      <c r="AF220" s="14"/>
      <c r="AG220" s="18"/>
      <c r="AH220" s="18"/>
      <c r="AI220" s="17"/>
      <c r="AJ220" s="181"/>
      <c r="AK220" s="13"/>
      <c r="AL220" s="181"/>
      <c r="AM220" s="175"/>
      <c r="AN220" s="192"/>
      <c r="AO220" s="13"/>
      <c r="AP220" s="181"/>
      <c r="AQ220" s="175"/>
      <c r="AR220" s="18"/>
      <c r="AS220" s="12"/>
      <c r="AT220" s="12"/>
      <c r="AU220" s="12"/>
      <c r="AV220" s="12"/>
      <c r="AW220" s="137"/>
      <c r="AX220" s="13"/>
      <c r="AY220" s="138"/>
      <c r="AZ220" s="140"/>
      <c r="BA220" s="18"/>
      <c r="BB220" s="18" t="e">
        <f>IF(#REF!&lt;&gt;0,IF(LL[[#This Row],[Date of Birth]]&lt;&gt;0,YEAR(#REF!-LL[[#This Row],[Date of Birth]])-1900,""),"")</f>
        <v>#REF!</v>
      </c>
      <c r="BC220" s="2" t="str">
        <f>IF(LL[[#This Row],[Sx Onset Date]]&gt;0,LL[[#This Row],[Sx Onset Date]],"")</f>
        <v/>
      </c>
      <c r="BD220" s="2" t="str">
        <f>IF(LL[[#This Row],[Lab-confirmed?]]="Y",LL[[#This Row],[Test Date]],"")</f>
        <v/>
      </c>
      <c r="BE220" s="2" t="str">
        <f>IF(LL[[#This Row],[Lab-confirmed?]]="Y",LL[[#This Row],[Test Date 2]],"")</f>
        <v/>
      </c>
      <c r="BF220" s="139" t="str">
        <f>IF(LL[[#This Row],[Date Reported to Public Health]]&gt;0,LL[[#This Row],[Date Reported to Public Health]],"")</f>
        <v/>
      </c>
      <c r="BG220" s="13" t="str">
        <f t="shared" si="3"/>
        <v/>
      </c>
    </row>
    <row r="221" spans="1:59" x14ac:dyDescent="0.3">
      <c r="A221" s="11">
        <v>217</v>
      </c>
      <c r="B221" s="12"/>
      <c r="C221" s="13"/>
      <c r="D221" s="12"/>
      <c r="E221" s="12"/>
      <c r="F221" s="12"/>
      <c r="G221" s="16"/>
      <c r="H221" s="12"/>
      <c r="I221" s="14"/>
      <c r="J221" s="137"/>
      <c r="K221" s="137"/>
      <c r="L221" s="18"/>
      <c r="M221" s="139"/>
      <c r="N221" s="140"/>
      <c r="O221" s="137"/>
      <c r="P221" s="137"/>
      <c r="Q221" s="15"/>
      <c r="R221" s="12"/>
      <c r="S221" s="12"/>
      <c r="T221" s="12"/>
      <c r="U221" s="14"/>
      <c r="V221" s="15"/>
      <c r="W221" s="12"/>
      <c r="X221" s="12"/>
      <c r="Y221" s="12"/>
      <c r="Z221" s="12"/>
      <c r="AA221" s="12"/>
      <c r="AB221" s="14"/>
      <c r="AC221" s="15"/>
      <c r="AD221" s="12"/>
      <c r="AE221" s="12"/>
      <c r="AF221" s="14"/>
      <c r="AG221" s="18"/>
      <c r="AH221" s="18"/>
      <c r="AI221" s="17"/>
      <c r="AJ221" s="181"/>
      <c r="AK221" s="13"/>
      <c r="AL221" s="181"/>
      <c r="AM221" s="175"/>
      <c r="AN221" s="192"/>
      <c r="AO221" s="13"/>
      <c r="AP221" s="181"/>
      <c r="AQ221" s="175"/>
      <c r="AR221" s="18"/>
      <c r="AS221" s="12"/>
      <c r="AT221" s="12"/>
      <c r="AU221" s="12"/>
      <c r="AV221" s="12"/>
      <c r="AW221" s="137"/>
      <c r="AX221" s="13"/>
      <c r="AY221" s="138"/>
      <c r="AZ221" s="140"/>
      <c r="BA221" s="18"/>
      <c r="BB221" s="18" t="e">
        <f>IF(#REF!&lt;&gt;0,IF(LL[[#This Row],[Date of Birth]]&lt;&gt;0,YEAR(#REF!-LL[[#This Row],[Date of Birth]])-1900,""),"")</f>
        <v>#REF!</v>
      </c>
      <c r="BC221" s="2" t="str">
        <f>IF(LL[[#This Row],[Sx Onset Date]]&gt;0,LL[[#This Row],[Sx Onset Date]],"")</f>
        <v/>
      </c>
      <c r="BD221" s="2" t="str">
        <f>IF(LL[[#This Row],[Lab-confirmed?]]="Y",LL[[#This Row],[Test Date]],"")</f>
        <v/>
      </c>
      <c r="BE221" s="2" t="str">
        <f>IF(LL[[#This Row],[Lab-confirmed?]]="Y",LL[[#This Row],[Test Date 2]],"")</f>
        <v/>
      </c>
      <c r="BF221" s="139" t="str">
        <f>IF(LL[[#This Row],[Date Reported to Public Health]]&gt;0,LL[[#This Row],[Date Reported to Public Health]],"")</f>
        <v/>
      </c>
      <c r="BG221" s="13" t="str">
        <f t="shared" si="3"/>
        <v/>
      </c>
    </row>
    <row r="222" spans="1:59" x14ac:dyDescent="0.3">
      <c r="A222" s="11">
        <v>218</v>
      </c>
      <c r="B222" s="12"/>
      <c r="C222" s="13"/>
      <c r="D222" s="12"/>
      <c r="E222" s="12"/>
      <c r="F222" s="12"/>
      <c r="G222" s="16"/>
      <c r="H222" s="12"/>
      <c r="I222" s="14"/>
      <c r="J222" s="137"/>
      <c r="K222" s="137"/>
      <c r="L222" s="18"/>
      <c r="M222" s="139"/>
      <c r="N222" s="140"/>
      <c r="O222" s="137"/>
      <c r="P222" s="137"/>
      <c r="Q222" s="15"/>
      <c r="R222" s="12"/>
      <c r="S222" s="12"/>
      <c r="T222" s="12"/>
      <c r="U222" s="14"/>
      <c r="V222" s="15"/>
      <c r="W222" s="12"/>
      <c r="X222" s="12"/>
      <c r="Y222" s="12"/>
      <c r="Z222" s="12"/>
      <c r="AA222" s="12"/>
      <c r="AB222" s="14"/>
      <c r="AC222" s="15"/>
      <c r="AD222" s="12"/>
      <c r="AE222" s="12"/>
      <c r="AF222" s="14"/>
      <c r="AG222" s="18"/>
      <c r="AH222" s="18"/>
      <c r="AI222" s="17"/>
      <c r="AJ222" s="181"/>
      <c r="AK222" s="13"/>
      <c r="AL222" s="181"/>
      <c r="AM222" s="175"/>
      <c r="AN222" s="192"/>
      <c r="AO222" s="13"/>
      <c r="AP222" s="181"/>
      <c r="AQ222" s="175"/>
      <c r="AR222" s="18"/>
      <c r="AS222" s="12"/>
      <c r="AT222" s="12"/>
      <c r="AU222" s="12"/>
      <c r="AV222" s="12"/>
      <c r="AW222" s="137"/>
      <c r="AX222" s="13"/>
      <c r="AY222" s="138"/>
      <c r="AZ222" s="140"/>
      <c r="BA222" s="18"/>
      <c r="BB222" s="18" t="e">
        <f>IF(#REF!&lt;&gt;0,IF(LL[[#This Row],[Date of Birth]]&lt;&gt;0,YEAR(#REF!-LL[[#This Row],[Date of Birth]])-1900,""),"")</f>
        <v>#REF!</v>
      </c>
      <c r="BC222" s="2" t="str">
        <f>IF(LL[[#This Row],[Sx Onset Date]]&gt;0,LL[[#This Row],[Sx Onset Date]],"")</f>
        <v/>
      </c>
      <c r="BD222" s="2" t="str">
        <f>IF(LL[[#This Row],[Lab-confirmed?]]="Y",LL[[#This Row],[Test Date]],"")</f>
        <v/>
      </c>
      <c r="BE222" s="2" t="str">
        <f>IF(LL[[#This Row],[Lab-confirmed?]]="Y",LL[[#This Row],[Test Date 2]],"")</f>
        <v/>
      </c>
      <c r="BF222" s="139" t="str">
        <f>IF(LL[[#This Row],[Date Reported to Public Health]]&gt;0,LL[[#This Row],[Date Reported to Public Health]],"")</f>
        <v/>
      </c>
      <c r="BG222" s="13" t="str">
        <f t="shared" si="3"/>
        <v/>
      </c>
    </row>
    <row r="223" spans="1:59" x14ac:dyDescent="0.3">
      <c r="A223" s="11">
        <v>219</v>
      </c>
      <c r="B223" s="12"/>
      <c r="C223" s="13"/>
      <c r="D223" s="12"/>
      <c r="E223" s="12"/>
      <c r="F223" s="12"/>
      <c r="G223" s="16"/>
      <c r="H223" s="12"/>
      <c r="I223" s="14"/>
      <c r="J223" s="137"/>
      <c r="K223" s="137"/>
      <c r="L223" s="18"/>
      <c r="M223" s="139"/>
      <c r="N223" s="140"/>
      <c r="O223" s="137"/>
      <c r="P223" s="137"/>
      <c r="Q223" s="15"/>
      <c r="R223" s="12"/>
      <c r="S223" s="12"/>
      <c r="T223" s="12"/>
      <c r="U223" s="14"/>
      <c r="V223" s="15"/>
      <c r="W223" s="12"/>
      <c r="X223" s="12"/>
      <c r="Y223" s="12"/>
      <c r="Z223" s="12"/>
      <c r="AA223" s="12"/>
      <c r="AB223" s="14"/>
      <c r="AC223" s="15"/>
      <c r="AD223" s="12"/>
      <c r="AE223" s="12"/>
      <c r="AF223" s="14"/>
      <c r="AG223" s="18"/>
      <c r="AH223" s="18"/>
      <c r="AI223" s="17"/>
      <c r="AJ223" s="181"/>
      <c r="AK223" s="13"/>
      <c r="AL223" s="181"/>
      <c r="AM223" s="175"/>
      <c r="AN223" s="192"/>
      <c r="AO223" s="13"/>
      <c r="AP223" s="181"/>
      <c r="AQ223" s="175"/>
      <c r="AR223" s="18"/>
      <c r="AS223" s="12"/>
      <c r="AT223" s="12"/>
      <c r="AU223" s="12"/>
      <c r="AV223" s="12"/>
      <c r="AW223" s="137"/>
      <c r="AX223" s="13"/>
      <c r="AY223" s="138"/>
      <c r="AZ223" s="140"/>
      <c r="BA223" s="18"/>
      <c r="BB223" s="18" t="e">
        <f>IF(#REF!&lt;&gt;0,IF(LL[[#This Row],[Date of Birth]]&lt;&gt;0,YEAR(#REF!-LL[[#This Row],[Date of Birth]])-1900,""),"")</f>
        <v>#REF!</v>
      </c>
      <c r="BC223" s="2" t="str">
        <f>IF(LL[[#This Row],[Sx Onset Date]]&gt;0,LL[[#This Row],[Sx Onset Date]],"")</f>
        <v/>
      </c>
      <c r="BD223" s="2" t="str">
        <f>IF(LL[[#This Row],[Lab-confirmed?]]="Y",LL[[#This Row],[Test Date]],"")</f>
        <v/>
      </c>
      <c r="BE223" s="2" t="str">
        <f>IF(LL[[#This Row],[Lab-confirmed?]]="Y",LL[[#This Row],[Test Date 2]],"")</f>
        <v/>
      </c>
      <c r="BF223" s="139" t="str">
        <f>IF(LL[[#This Row],[Date Reported to Public Health]]&gt;0,LL[[#This Row],[Date Reported to Public Health]],"")</f>
        <v/>
      </c>
      <c r="BG223" s="13" t="str">
        <f t="shared" si="3"/>
        <v/>
      </c>
    </row>
    <row r="224" spans="1:59" x14ac:dyDescent="0.3">
      <c r="A224" s="11">
        <v>220</v>
      </c>
      <c r="B224" s="12"/>
      <c r="C224" s="13"/>
      <c r="D224" s="12"/>
      <c r="E224" s="12"/>
      <c r="F224" s="12"/>
      <c r="G224" s="16"/>
      <c r="H224" s="12"/>
      <c r="I224" s="14"/>
      <c r="J224" s="137"/>
      <c r="K224" s="137"/>
      <c r="L224" s="18"/>
      <c r="M224" s="139"/>
      <c r="N224" s="140"/>
      <c r="O224" s="137"/>
      <c r="P224" s="137"/>
      <c r="Q224" s="15"/>
      <c r="R224" s="12"/>
      <c r="S224" s="12"/>
      <c r="T224" s="12"/>
      <c r="U224" s="14"/>
      <c r="V224" s="15"/>
      <c r="W224" s="12"/>
      <c r="X224" s="12"/>
      <c r="Y224" s="12"/>
      <c r="Z224" s="12"/>
      <c r="AA224" s="12"/>
      <c r="AB224" s="14"/>
      <c r="AC224" s="15"/>
      <c r="AD224" s="12"/>
      <c r="AE224" s="12"/>
      <c r="AF224" s="14"/>
      <c r="AG224" s="18"/>
      <c r="AH224" s="18"/>
      <c r="AI224" s="17"/>
      <c r="AJ224" s="181"/>
      <c r="AK224" s="13"/>
      <c r="AL224" s="181"/>
      <c r="AM224" s="175"/>
      <c r="AN224" s="192"/>
      <c r="AO224" s="13"/>
      <c r="AP224" s="181"/>
      <c r="AQ224" s="175"/>
      <c r="AR224" s="18"/>
      <c r="AS224" s="12"/>
      <c r="AT224" s="12"/>
      <c r="AU224" s="12"/>
      <c r="AV224" s="12"/>
      <c r="AW224" s="137"/>
      <c r="AX224" s="13"/>
      <c r="AY224" s="138"/>
      <c r="AZ224" s="140"/>
      <c r="BA224" s="18"/>
      <c r="BB224" s="18" t="e">
        <f>IF(#REF!&lt;&gt;0,IF(LL[[#This Row],[Date of Birth]]&lt;&gt;0,YEAR(#REF!-LL[[#This Row],[Date of Birth]])-1900,""),"")</f>
        <v>#REF!</v>
      </c>
      <c r="BC224" s="2" t="str">
        <f>IF(LL[[#This Row],[Sx Onset Date]]&gt;0,LL[[#This Row],[Sx Onset Date]],"")</f>
        <v/>
      </c>
      <c r="BD224" s="2" t="str">
        <f>IF(LL[[#This Row],[Lab-confirmed?]]="Y",LL[[#This Row],[Test Date]],"")</f>
        <v/>
      </c>
      <c r="BE224" s="2" t="str">
        <f>IF(LL[[#This Row],[Lab-confirmed?]]="Y",LL[[#This Row],[Test Date 2]],"")</f>
        <v/>
      </c>
      <c r="BF224" s="139" t="str">
        <f>IF(LL[[#This Row],[Date Reported to Public Health]]&gt;0,LL[[#This Row],[Date Reported to Public Health]],"")</f>
        <v/>
      </c>
      <c r="BG224" s="13" t="str">
        <f t="shared" si="3"/>
        <v/>
      </c>
    </row>
    <row r="225" spans="1:59" x14ac:dyDescent="0.3">
      <c r="A225" s="11">
        <v>221</v>
      </c>
      <c r="B225" s="12"/>
      <c r="C225" s="13"/>
      <c r="D225" s="12"/>
      <c r="E225" s="12"/>
      <c r="F225" s="12"/>
      <c r="G225" s="16"/>
      <c r="H225" s="12"/>
      <c r="I225" s="14"/>
      <c r="J225" s="137"/>
      <c r="K225" s="137"/>
      <c r="L225" s="18"/>
      <c r="M225" s="139"/>
      <c r="N225" s="140"/>
      <c r="O225" s="137"/>
      <c r="P225" s="137"/>
      <c r="Q225" s="15"/>
      <c r="R225" s="12"/>
      <c r="S225" s="12"/>
      <c r="T225" s="12"/>
      <c r="U225" s="14"/>
      <c r="V225" s="15"/>
      <c r="W225" s="12"/>
      <c r="X225" s="12"/>
      <c r="Y225" s="12"/>
      <c r="Z225" s="12"/>
      <c r="AA225" s="12"/>
      <c r="AB225" s="14"/>
      <c r="AC225" s="15"/>
      <c r="AD225" s="12"/>
      <c r="AE225" s="12"/>
      <c r="AF225" s="14"/>
      <c r="AG225" s="18"/>
      <c r="AH225" s="18"/>
      <c r="AI225" s="17"/>
      <c r="AJ225" s="181"/>
      <c r="AK225" s="13"/>
      <c r="AL225" s="181"/>
      <c r="AM225" s="175"/>
      <c r="AN225" s="192"/>
      <c r="AO225" s="13"/>
      <c r="AP225" s="181"/>
      <c r="AQ225" s="175"/>
      <c r="AR225" s="18"/>
      <c r="AS225" s="12"/>
      <c r="AT225" s="12"/>
      <c r="AU225" s="12"/>
      <c r="AV225" s="12"/>
      <c r="AW225" s="137"/>
      <c r="AX225" s="13"/>
      <c r="AY225" s="138"/>
      <c r="AZ225" s="140"/>
      <c r="BA225" s="18"/>
      <c r="BB225" s="18" t="e">
        <f>IF(#REF!&lt;&gt;0,IF(LL[[#This Row],[Date of Birth]]&lt;&gt;0,YEAR(#REF!-LL[[#This Row],[Date of Birth]])-1900,""),"")</f>
        <v>#REF!</v>
      </c>
      <c r="BC225" s="2" t="str">
        <f>IF(LL[[#This Row],[Sx Onset Date]]&gt;0,LL[[#This Row],[Sx Onset Date]],"")</f>
        <v/>
      </c>
      <c r="BD225" s="2" t="str">
        <f>IF(LL[[#This Row],[Lab-confirmed?]]="Y",LL[[#This Row],[Test Date]],"")</f>
        <v/>
      </c>
      <c r="BE225" s="2" t="str">
        <f>IF(LL[[#This Row],[Lab-confirmed?]]="Y",LL[[#This Row],[Test Date 2]],"")</f>
        <v/>
      </c>
      <c r="BF225" s="139" t="str">
        <f>IF(LL[[#This Row],[Date Reported to Public Health]]&gt;0,LL[[#This Row],[Date Reported to Public Health]],"")</f>
        <v/>
      </c>
      <c r="BG225" s="13" t="str">
        <f t="shared" si="3"/>
        <v/>
      </c>
    </row>
    <row r="226" spans="1:59" x14ac:dyDescent="0.3">
      <c r="A226" s="11">
        <v>222</v>
      </c>
      <c r="B226" s="12"/>
      <c r="C226" s="13"/>
      <c r="D226" s="12"/>
      <c r="E226" s="12"/>
      <c r="F226" s="12"/>
      <c r="G226" s="16"/>
      <c r="H226" s="12"/>
      <c r="I226" s="14"/>
      <c r="J226" s="137"/>
      <c r="K226" s="137"/>
      <c r="L226" s="18"/>
      <c r="M226" s="139"/>
      <c r="N226" s="140"/>
      <c r="O226" s="137"/>
      <c r="P226" s="137"/>
      <c r="Q226" s="15"/>
      <c r="R226" s="12"/>
      <c r="S226" s="12"/>
      <c r="T226" s="12"/>
      <c r="U226" s="14"/>
      <c r="V226" s="15"/>
      <c r="W226" s="12"/>
      <c r="X226" s="12"/>
      <c r="Y226" s="12"/>
      <c r="Z226" s="12"/>
      <c r="AA226" s="12"/>
      <c r="AB226" s="14"/>
      <c r="AC226" s="15"/>
      <c r="AD226" s="12"/>
      <c r="AE226" s="12"/>
      <c r="AF226" s="14"/>
      <c r="AG226" s="18"/>
      <c r="AH226" s="18"/>
      <c r="AI226" s="17"/>
      <c r="AJ226" s="181"/>
      <c r="AK226" s="13"/>
      <c r="AL226" s="181"/>
      <c r="AM226" s="175"/>
      <c r="AN226" s="192"/>
      <c r="AO226" s="13"/>
      <c r="AP226" s="181"/>
      <c r="AQ226" s="175"/>
      <c r="AR226" s="18"/>
      <c r="AS226" s="12"/>
      <c r="AT226" s="12"/>
      <c r="AU226" s="12"/>
      <c r="AV226" s="12"/>
      <c r="AW226" s="137"/>
      <c r="AX226" s="13"/>
      <c r="AY226" s="138"/>
      <c r="AZ226" s="140"/>
      <c r="BA226" s="18"/>
      <c r="BB226" s="18" t="e">
        <f>IF(#REF!&lt;&gt;0,IF(LL[[#This Row],[Date of Birth]]&lt;&gt;0,YEAR(#REF!-LL[[#This Row],[Date of Birth]])-1900,""),"")</f>
        <v>#REF!</v>
      </c>
      <c r="BC226" s="2" t="str">
        <f>IF(LL[[#This Row],[Sx Onset Date]]&gt;0,LL[[#This Row],[Sx Onset Date]],"")</f>
        <v/>
      </c>
      <c r="BD226" s="2" t="str">
        <f>IF(LL[[#This Row],[Lab-confirmed?]]="Y",LL[[#This Row],[Test Date]],"")</f>
        <v/>
      </c>
      <c r="BE226" s="2" t="str">
        <f>IF(LL[[#This Row],[Lab-confirmed?]]="Y",LL[[#This Row],[Test Date 2]],"")</f>
        <v/>
      </c>
      <c r="BF226" s="139" t="str">
        <f>IF(LL[[#This Row],[Date Reported to Public Health]]&gt;0,LL[[#This Row],[Date Reported to Public Health]],"")</f>
        <v/>
      </c>
      <c r="BG226" s="13" t="str">
        <f t="shared" si="3"/>
        <v/>
      </c>
    </row>
    <row r="227" spans="1:59" x14ac:dyDescent="0.3">
      <c r="A227" s="11">
        <v>223</v>
      </c>
      <c r="B227" s="12"/>
      <c r="C227" s="13"/>
      <c r="D227" s="12"/>
      <c r="E227" s="12"/>
      <c r="F227" s="12"/>
      <c r="G227" s="16"/>
      <c r="H227" s="12"/>
      <c r="I227" s="14"/>
      <c r="J227" s="137"/>
      <c r="K227" s="137"/>
      <c r="L227" s="18"/>
      <c r="M227" s="139"/>
      <c r="N227" s="140"/>
      <c r="O227" s="137"/>
      <c r="P227" s="137"/>
      <c r="Q227" s="15"/>
      <c r="R227" s="12"/>
      <c r="S227" s="12"/>
      <c r="T227" s="12"/>
      <c r="U227" s="14"/>
      <c r="V227" s="15"/>
      <c r="W227" s="12"/>
      <c r="X227" s="12"/>
      <c r="Y227" s="12"/>
      <c r="Z227" s="12"/>
      <c r="AA227" s="12"/>
      <c r="AB227" s="14"/>
      <c r="AC227" s="15"/>
      <c r="AD227" s="12"/>
      <c r="AE227" s="12"/>
      <c r="AF227" s="14"/>
      <c r="AG227" s="18"/>
      <c r="AH227" s="18"/>
      <c r="AI227" s="17"/>
      <c r="AJ227" s="181"/>
      <c r="AK227" s="13"/>
      <c r="AL227" s="181"/>
      <c r="AM227" s="175"/>
      <c r="AN227" s="192"/>
      <c r="AO227" s="13"/>
      <c r="AP227" s="181"/>
      <c r="AQ227" s="175"/>
      <c r="AR227" s="18"/>
      <c r="AS227" s="12"/>
      <c r="AT227" s="12"/>
      <c r="AU227" s="12"/>
      <c r="AV227" s="12"/>
      <c r="AW227" s="137"/>
      <c r="AX227" s="13"/>
      <c r="AY227" s="138"/>
      <c r="AZ227" s="140"/>
      <c r="BA227" s="18"/>
      <c r="BB227" s="18" t="e">
        <f>IF(#REF!&lt;&gt;0,IF(LL[[#This Row],[Date of Birth]]&lt;&gt;0,YEAR(#REF!-LL[[#This Row],[Date of Birth]])-1900,""),"")</f>
        <v>#REF!</v>
      </c>
      <c r="BC227" s="2" t="str">
        <f>IF(LL[[#This Row],[Sx Onset Date]]&gt;0,LL[[#This Row],[Sx Onset Date]],"")</f>
        <v/>
      </c>
      <c r="BD227" s="2" t="str">
        <f>IF(LL[[#This Row],[Lab-confirmed?]]="Y",LL[[#This Row],[Test Date]],"")</f>
        <v/>
      </c>
      <c r="BE227" s="2" t="str">
        <f>IF(LL[[#This Row],[Lab-confirmed?]]="Y",LL[[#This Row],[Test Date 2]],"")</f>
        <v/>
      </c>
      <c r="BF227" s="139" t="str">
        <f>IF(LL[[#This Row],[Date Reported to Public Health]]&gt;0,LL[[#This Row],[Date Reported to Public Health]],"")</f>
        <v/>
      </c>
      <c r="BG227" s="13" t="str">
        <f t="shared" si="3"/>
        <v/>
      </c>
    </row>
    <row r="228" spans="1:59" x14ac:dyDescent="0.3">
      <c r="A228" s="11">
        <v>224</v>
      </c>
      <c r="B228" s="12"/>
      <c r="C228" s="13"/>
      <c r="D228" s="12"/>
      <c r="E228" s="12"/>
      <c r="F228" s="12"/>
      <c r="G228" s="16"/>
      <c r="H228" s="12"/>
      <c r="I228" s="14"/>
      <c r="J228" s="137"/>
      <c r="K228" s="137"/>
      <c r="L228" s="18"/>
      <c r="M228" s="139"/>
      <c r="N228" s="140"/>
      <c r="O228" s="137"/>
      <c r="P228" s="137"/>
      <c r="Q228" s="15"/>
      <c r="R228" s="12"/>
      <c r="S228" s="12"/>
      <c r="T228" s="12"/>
      <c r="U228" s="14"/>
      <c r="V228" s="15"/>
      <c r="W228" s="12"/>
      <c r="X228" s="12"/>
      <c r="Y228" s="12"/>
      <c r="Z228" s="12"/>
      <c r="AA228" s="12"/>
      <c r="AB228" s="14"/>
      <c r="AC228" s="15"/>
      <c r="AD228" s="12"/>
      <c r="AE228" s="12"/>
      <c r="AF228" s="14"/>
      <c r="AG228" s="18"/>
      <c r="AH228" s="18"/>
      <c r="AI228" s="17"/>
      <c r="AJ228" s="181"/>
      <c r="AK228" s="13"/>
      <c r="AL228" s="181"/>
      <c r="AM228" s="175"/>
      <c r="AN228" s="192"/>
      <c r="AO228" s="13"/>
      <c r="AP228" s="181"/>
      <c r="AQ228" s="175"/>
      <c r="AR228" s="18"/>
      <c r="AS228" s="12"/>
      <c r="AT228" s="12"/>
      <c r="AU228" s="12"/>
      <c r="AV228" s="12"/>
      <c r="AW228" s="137"/>
      <c r="AX228" s="13"/>
      <c r="AY228" s="138"/>
      <c r="AZ228" s="140"/>
      <c r="BA228" s="18"/>
      <c r="BB228" s="18" t="e">
        <f>IF(#REF!&lt;&gt;0,IF(LL[[#This Row],[Date of Birth]]&lt;&gt;0,YEAR(#REF!-LL[[#This Row],[Date of Birth]])-1900,""),"")</f>
        <v>#REF!</v>
      </c>
      <c r="BC228" s="2" t="str">
        <f>IF(LL[[#This Row],[Sx Onset Date]]&gt;0,LL[[#This Row],[Sx Onset Date]],"")</f>
        <v/>
      </c>
      <c r="BD228" s="2" t="str">
        <f>IF(LL[[#This Row],[Lab-confirmed?]]="Y",LL[[#This Row],[Test Date]],"")</f>
        <v/>
      </c>
      <c r="BE228" s="2" t="str">
        <f>IF(LL[[#This Row],[Lab-confirmed?]]="Y",LL[[#This Row],[Test Date 2]],"")</f>
        <v/>
      </c>
      <c r="BF228" s="139" t="str">
        <f>IF(LL[[#This Row],[Date Reported to Public Health]]&gt;0,LL[[#This Row],[Date Reported to Public Health]],"")</f>
        <v/>
      </c>
      <c r="BG228" s="13" t="str">
        <f t="shared" si="3"/>
        <v/>
      </c>
    </row>
    <row r="229" spans="1:59" x14ac:dyDescent="0.3">
      <c r="A229" s="11">
        <v>225</v>
      </c>
      <c r="B229" s="12"/>
      <c r="C229" s="13"/>
      <c r="D229" s="12"/>
      <c r="E229" s="12"/>
      <c r="F229" s="12"/>
      <c r="G229" s="16"/>
      <c r="H229" s="12"/>
      <c r="I229" s="14"/>
      <c r="J229" s="137"/>
      <c r="K229" s="137"/>
      <c r="L229" s="18"/>
      <c r="M229" s="139"/>
      <c r="N229" s="140"/>
      <c r="O229" s="137"/>
      <c r="P229" s="137"/>
      <c r="Q229" s="15"/>
      <c r="R229" s="12"/>
      <c r="S229" s="12"/>
      <c r="T229" s="12"/>
      <c r="U229" s="14"/>
      <c r="V229" s="15"/>
      <c r="W229" s="12"/>
      <c r="X229" s="12"/>
      <c r="Y229" s="12"/>
      <c r="Z229" s="12"/>
      <c r="AA229" s="12"/>
      <c r="AB229" s="14"/>
      <c r="AC229" s="15"/>
      <c r="AD229" s="12"/>
      <c r="AE229" s="12"/>
      <c r="AF229" s="14"/>
      <c r="AG229" s="18"/>
      <c r="AH229" s="18"/>
      <c r="AI229" s="17"/>
      <c r="AJ229" s="181"/>
      <c r="AK229" s="13"/>
      <c r="AL229" s="181"/>
      <c r="AM229" s="175"/>
      <c r="AN229" s="192"/>
      <c r="AO229" s="13"/>
      <c r="AP229" s="181"/>
      <c r="AQ229" s="175"/>
      <c r="AR229" s="18"/>
      <c r="AS229" s="12"/>
      <c r="AT229" s="12"/>
      <c r="AU229" s="12"/>
      <c r="AV229" s="12"/>
      <c r="AW229" s="137"/>
      <c r="AX229" s="13"/>
      <c r="AY229" s="138"/>
      <c r="AZ229" s="140"/>
      <c r="BA229" s="18"/>
      <c r="BB229" s="18" t="e">
        <f>IF(#REF!&lt;&gt;0,IF(LL[[#This Row],[Date of Birth]]&lt;&gt;0,YEAR(#REF!-LL[[#This Row],[Date of Birth]])-1900,""),"")</f>
        <v>#REF!</v>
      </c>
      <c r="BC229" s="2" t="str">
        <f>IF(LL[[#This Row],[Sx Onset Date]]&gt;0,LL[[#This Row],[Sx Onset Date]],"")</f>
        <v/>
      </c>
      <c r="BD229" s="2" t="str">
        <f>IF(LL[[#This Row],[Lab-confirmed?]]="Y",LL[[#This Row],[Test Date]],"")</f>
        <v/>
      </c>
      <c r="BE229" s="2" t="str">
        <f>IF(LL[[#This Row],[Lab-confirmed?]]="Y",LL[[#This Row],[Test Date 2]],"")</f>
        <v/>
      </c>
      <c r="BF229" s="139" t="str">
        <f>IF(LL[[#This Row],[Date Reported to Public Health]]&gt;0,LL[[#This Row],[Date Reported to Public Health]],"")</f>
        <v/>
      </c>
      <c r="BG229" s="13" t="str">
        <f t="shared" si="3"/>
        <v/>
      </c>
    </row>
    <row r="230" spans="1:59" x14ac:dyDescent="0.3">
      <c r="A230" s="11">
        <v>226</v>
      </c>
      <c r="B230" s="12"/>
      <c r="C230" s="13"/>
      <c r="D230" s="12"/>
      <c r="E230" s="12"/>
      <c r="F230" s="12"/>
      <c r="G230" s="16"/>
      <c r="H230" s="12"/>
      <c r="I230" s="14"/>
      <c r="J230" s="137"/>
      <c r="K230" s="137"/>
      <c r="L230" s="18"/>
      <c r="M230" s="139"/>
      <c r="N230" s="140"/>
      <c r="O230" s="137"/>
      <c r="P230" s="137"/>
      <c r="Q230" s="15"/>
      <c r="R230" s="12"/>
      <c r="S230" s="12"/>
      <c r="T230" s="12"/>
      <c r="U230" s="14"/>
      <c r="V230" s="15"/>
      <c r="W230" s="12"/>
      <c r="X230" s="12"/>
      <c r="Y230" s="12"/>
      <c r="Z230" s="12"/>
      <c r="AA230" s="12"/>
      <c r="AB230" s="14"/>
      <c r="AC230" s="15"/>
      <c r="AD230" s="12"/>
      <c r="AE230" s="12"/>
      <c r="AF230" s="14"/>
      <c r="AG230" s="18"/>
      <c r="AH230" s="18"/>
      <c r="AI230" s="17"/>
      <c r="AJ230" s="181"/>
      <c r="AK230" s="13"/>
      <c r="AL230" s="181"/>
      <c r="AM230" s="175"/>
      <c r="AN230" s="192"/>
      <c r="AO230" s="13"/>
      <c r="AP230" s="181"/>
      <c r="AQ230" s="175"/>
      <c r="AR230" s="18"/>
      <c r="AS230" s="12"/>
      <c r="AT230" s="12"/>
      <c r="AU230" s="12"/>
      <c r="AV230" s="12"/>
      <c r="AW230" s="137"/>
      <c r="AX230" s="13"/>
      <c r="AY230" s="138"/>
      <c r="AZ230" s="140"/>
      <c r="BA230" s="18"/>
      <c r="BB230" s="18" t="e">
        <f>IF(#REF!&lt;&gt;0,IF(LL[[#This Row],[Date of Birth]]&lt;&gt;0,YEAR(#REF!-LL[[#This Row],[Date of Birth]])-1900,""),"")</f>
        <v>#REF!</v>
      </c>
      <c r="BC230" s="2" t="str">
        <f>IF(LL[[#This Row],[Sx Onset Date]]&gt;0,LL[[#This Row],[Sx Onset Date]],"")</f>
        <v/>
      </c>
      <c r="BD230" s="2" t="str">
        <f>IF(LL[[#This Row],[Lab-confirmed?]]="Y",LL[[#This Row],[Test Date]],"")</f>
        <v/>
      </c>
      <c r="BE230" s="2" t="str">
        <f>IF(LL[[#This Row],[Lab-confirmed?]]="Y",LL[[#This Row],[Test Date 2]],"")</f>
        <v/>
      </c>
      <c r="BF230" s="139" t="str">
        <f>IF(LL[[#This Row],[Date Reported to Public Health]]&gt;0,LL[[#This Row],[Date Reported to Public Health]],"")</f>
        <v/>
      </c>
      <c r="BG230" s="13" t="str">
        <f t="shared" si="3"/>
        <v/>
      </c>
    </row>
    <row r="231" spans="1:59" x14ac:dyDescent="0.3">
      <c r="A231" s="11">
        <v>227</v>
      </c>
      <c r="B231" s="12"/>
      <c r="C231" s="13"/>
      <c r="D231" s="12"/>
      <c r="E231" s="12"/>
      <c r="F231" s="12"/>
      <c r="G231" s="16"/>
      <c r="H231" s="12"/>
      <c r="I231" s="14"/>
      <c r="J231" s="137"/>
      <c r="K231" s="137"/>
      <c r="L231" s="18"/>
      <c r="M231" s="139"/>
      <c r="N231" s="140"/>
      <c r="O231" s="137"/>
      <c r="P231" s="137"/>
      <c r="Q231" s="15"/>
      <c r="R231" s="12"/>
      <c r="S231" s="12"/>
      <c r="T231" s="12"/>
      <c r="U231" s="14"/>
      <c r="V231" s="15"/>
      <c r="W231" s="12"/>
      <c r="X231" s="12"/>
      <c r="Y231" s="12"/>
      <c r="Z231" s="12"/>
      <c r="AA231" s="12"/>
      <c r="AB231" s="14"/>
      <c r="AC231" s="15"/>
      <c r="AD231" s="12"/>
      <c r="AE231" s="12"/>
      <c r="AF231" s="14"/>
      <c r="AG231" s="18"/>
      <c r="AH231" s="18"/>
      <c r="AI231" s="17"/>
      <c r="AJ231" s="181"/>
      <c r="AK231" s="13"/>
      <c r="AL231" s="181"/>
      <c r="AM231" s="175"/>
      <c r="AN231" s="192"/>
      <c r="AO231" s="13"/>
      <c r="AP231" s="181"/>
      <c r="AQ231" s="175"/>
      <c r="AR231" s="18"/>
      <c r="AS231" s="12"/>
      <c r="AT231" s="12"/>
      <c r="AU231" s="12"/>
      <c r="AV231" s="12"/>
      <c r="AW231" s="137"/>
      <c r="AX231" s="13"/>
      <c r="AY231" s="138"/>
      <c r="AZ231" s="140"/>
      <c r="BA231" s="18"/>
      <c r="BB231" s="18" t="e">
        <f>IF(#REF!&lt;&gt;0,IF(LL[[#This Row],[Date of Birth]]&lt;&gt;0,YEAR(#REF!-LL[[#This Row],[Date of Birth]])-1900,""),"")</f>
        <v>#REF!</v>
      </c>
      <c r="BC231" s="2" t="str">
        <f>IF(LL[[#This Row],[Sx Onset Date]]&gt;0,LL[[#This Row],[Sx Onset Date]],"")</f>
        <v/>
      </c>
      <c r="BD231" s="2" t="str">
        <f>IF(LL[[#This Row],[Lab-confirmed?]]="Y",LL[[#This Row],[Test Date]],"")</f>
        <v/>
      </c>
      <c r="BE231" s="2" t="str">
        <f>IF(LL[[#This Row],[Lab-confirmed?]]="Y",LL[[#This Row],[Test Date 2]],"")</f>
        <v/>
      </c>
      <c r="BF231" s="139" t="str">
        <f>IF(LL[[#This Row],[Date Reported to Public Health]]&gt;0,LL[[#This Row],[Date Reported to Public Health]],"")</f>
        <v/>
      </c>
      <c r="BG231" s="13" t="str">
        <f t="shared" si="3"/>
        <v/>
      </c>
    </row>
    <row r="232" spans="1:59" x14ac:dyDescent="0.3">
      <c r="A232" s="11">
        <v>228</v>
      </c>
      <c r="B232" s="12"/>
      <c r="C232" s="13"/>
      <c r="D232" s="12"/>
      <c r="E232" s="12"/>
      <c r="F232" s="12"/>
      <c r="G232" s="16"/>
      <c r="H232" s="12"/>
      <c r="I232" s="14"/>
      <c r="J232" s="137"/>
      <c r="K232" s="137"/>
      <c r="L232" s="18"/>
      <c r="M232" s="139"/>
      <c r="N232" s="140"/>
      <c r="O232" s="137"/>
      <c r="P232" s="137"/>
      <c r="Q232" s="15"/>
      <c r="R232" s="12"/>
      <c r="S232" s="12"/>
      <c r="T232" s="12"/>
      <c r="U232" s="14"/>
      <c r="V232" s="15"/>
      <c r="W232" s="12"/>
      <c r="X232" s="12"/>
      <c r="Y232" s="12"/>
      <c r="Z232" s="12"/>
      <c r="AA232" s="12"/>
      <c r="AB232" s="14"/>
      <c r="AC232" s="15"/>
      <c r="AD232" s="12"/>
      <c r="AE232" s="12"/>
      <c r="AF232" s="14"/>
      <c r="AG232" s="18"/>
      <c r="AH232" s="18"/>
      <c r="AI232" s="17"/>
      <c r="AJ232" s="181"/>
      <c r="AK232" s="13"/>
      <c r="AL232" s="181"/>
      <c r="AM232" s="175"/>
      <c r="AN232" s="192"/>
      <c r="AO232" s="13"/>
      <c r="AP232" s="181"/>
      <c r="AQ232" s="175"/>
      <c r="AR232" s="18"/>
      <c r="AS232" s="12"/>
      <c r="AT232" s="12"/>
      <c r="AU232" s="12"/>
      <c r="AV232" s="12"/>
      <c r="AW232" s="137"/>
      <c r="AX232" s="13"/>
      <c r="AY232" s="138"/>
      <c r="AZ232" s="140"/>
      <c r="BA232" s="18"/>
      <c r="BB232" s="18" t="e">
        <f>IF(#REF!&lt;&gt;0,IF(LL[[#This Row],[Date of Birth]]&lt;&gt;0,YEAR(#REF!-LL[[#This Row],[Date of Birth]])-1900,""),"")</f>
        <v>#REF!</v>
      </c>
      <c r="BC232" s="2" t="str">
        <f>IF(LL[[#This Row],[Sx Onset Date]]&gt;0,LL[[#This Row],[Sx Onset Date]],"")</f>
        <v/>
      </c>
      <c r="BD232" s="2" t="str">
        <f>IF(LL[[#This Row],[Lab-confirmed?]]="Y",LL[[#This Row],[Test Date]],"")</f>
        <v/>
      </c>
      <c r="BE232" s="2" t="str">
        <f>IF(LL[[#This Row],[Lab-confirmed?]]="Y",LL[[#This Row],[Test Date 2]],"")</f>
        <v/>
      </c>
      <c r="BF232" s="139" t="str">
        <f>IF(LL[[#This Row],[Date Reported to Public Health]]&gt;0,LL[[#This Row],[Date Reported to Public Health]],"")</f>
        <v/>
      </c>
      <c r="BG232" s="13" t="str">
        <f t="shared" si="3"/>
        <v/>
      </c>
    </row>
    <row r="233" spans="1:59" x14ac:dyDescent="0.3">
      <c r="A233" s="11">
        <v>229</v>
      </c>
      <c r="B233" s="12"/>
      <c r="C233" s="13"/>
      <c r="D233" s="12"/>
      <c r="E233" s="12"/>
      <c r="F233" s="12"/>
      <c r="G233" s="16"/>
      <c r="H233" s="12"/>
      <c r="I233" s="14"/>
      <c r="J233" s="137"/>
      <c r="K233" s="137"/>
      <c r="L233" s="18"/>
      <c r="M233" s="139"/>
      <c r="N233" s="140"/>
      <c r="O233" s="137"/>
      <c r="P233" s="137"/>
      <c r="Q233" s="15"/>
      <c r="R233" s="12"/>
      <c r="S233" s="12"/>
      <c r="T233" s="12"/>
      <c r="U233" s="14"/>
      <c r="V233" s="15"/>
      <c r="W233" s="12"/>
      <c r="X233" s="12"/>
      <c r="Y233" s="12"/>
      <c r="Z233" s="12"/>
      <c r="AA233" s="12"/>
      <c r="AB233" s="14"/>
      <c r="AC233" s="15"/>
      <c r="AD233" s="12"/>
      <c r="AE233" s="12"/>
      <c r="AF233" s="14"/>
      <c r="AG233" s="18"/>
      <c r="AH233" s="18"/>
      <c r="AI233" s="17"/>
      <c r="AJ233" s="181"/>
      <c r="AK233" s="13"/>
      <c r="AL233" s="181"/>
      <c r="AM233" s="175"/>
      <c r="AN233" s="192"/>
      <c r="AO233" s="13"/>
      <c r="AP233" s="181"/>
      <c r="AQ233" s="175"/>
      <c r="AR233" s="18"/>
      <c r="AS233" s="12"/>
      <c r="AT233" s="12"/>
      <c r="AU233" s="12"/>
      <c r="AV233" s="12"/>
      <c r="AW233" s="137"/>
      <c r="AX233" s="13"/>
      <c r="AY233" s="138"/>
      <c r="AZ233" s="140"/>
      <c r="BA233" s="18"/>
      <c r="BB233" s="18" t="e">
        <f>IF(#REF!&lt;&gt;0,IF(LL[[#This Row],[Date of Birth]]&lt;&gt;0,YEAR(#REF!-LL[[#This Row],[Date of Birth]])-1900,""),"")</f>
        <v>#REF!</v>
      </c>
      <c r="BC233" s="2" t="str">
        <f>IF(LL[[#This Row],[Sx Onset Date]]&gt;0,LL[[#This Row],[Sx Onset Date]],"")</f>
        <v/>
      </c>
      <c r="BD233" s="2" t="str">
        <f>IF(LL[[#This Row],[Lab-confirmed?]]="Y",LL[[#This Row],[Test Date]],"")</f>
        <v/>
      </c>
      <c r="BE233" s="2" t="str">
        <f>IF(LL[[#This Row],[Lab-confirmed?]]="Y",LL[[#This Row],[Test Date 2]],"")</f>
        <v/>
      </c>
      <c r="BF233" s="139" t="str">
        <f>IF(LL[[#This Row],[Date Reported to Public Health]]&gt;0,LL[[#This Row],[Date Reported to Public Health]],"")</f>
        <v/>
      </c>
      <c r="BG233" s="13" t="str">
        <f t="shared" si="3"/>
        <v/>
      </c>
    </row>
    <row r="234" spans="1:59" x14ac:dyDescent="0.3">
      <c r="A234" s="11">
        <v>230</v>
      </c>
      <c r="B234" s="12"/>
      <c r="C234" s="13"/>
      <c r="D234" s="12"/>
      <c r="E234" s="12"/>
      <c r="F234" s="12"/>
      <c r="G234" s="16"/>
      <c r="H234" s="12"/>
      <c r="I234" s="14"/>
      <c r="J234" s="137"/>
      <c r="K234" s="137"/>
      <c r="L234" s="18"/>
      <c r="M234" s="139"/>
      <c r="N234" s="140"/>
      <c r="O234" s="137"/>
      <c r="P234" s="137"/>
      <c r="Q234" s="15"/>
      <c r="R234" s="12"/>
      <c r="S234" s="12"/>
      <c r="T234" s="12"/>
      <c r="U234" s="14"/>
      <c r="V234" s="15"/>
      <c r="W234" s="12"/>
      <c r="X234" s="12"/>
      <c r="Y234" s="12"/>
      <c r="Z234" s="12"/>
      <c r="AA234" s="12"/>
      <c r="AB234" s="14"/>
      <c r="AC234" s="15"/>
      <c r="AD234" s="12"/>
      <c r="AE234" s="12"/>
      <c r="AF234" s="14"/>
      <c r="AG234" s="18"/>
      <c r="AH234" s="18"/>
      <c r="AI234" s="17"/>
      <c r="AJ234" s="181"/>
      <c r="AK234" s="13"/>
      <c r="AL234" s="181"/>
      <c r="AM234" s="175"/>
      <c r="AN234" s="192"/>
      <c r="AO234" s="13"/>
      <c r="AP234" s="181"/>
      <c r="AQ234" s="175"/>
      <c r="AR234" s="18"/>
      <c r="AS234" s="12"/>
      <c r="AT234" s="12"/>
      <c r="AU234" s="12"/>
      <c r="AV234" s="12"/>
      <c r="AW234" s="137"/>
      <c r="AX234" s="13"/>
      <c r="AY234" s="138"/>
      <c r="AZ234" s="140"/>
      <c r="BA234" s="18"/>
      <c r="BB234" s="18" t="e">
        <f>IF(#REF!&lt;&gt;0,IF(LL[[#This Row],[Date of Birth]]&lt;&gt;0,YEAR(#REF!-LL[[#This Row],[Date of Birth]])-1900,""),"")</f>
        <v>#REF!</v>
      </c>
      <c r="BC234" s="2" t="str">
        <f>IF(LL[[#This Row],[Sx Onset Date]]&gt;0,LL[[#This Row],[Sx Onset Date]],"")</f>
        <v/>
      </c>
      <c r="BD234" s="2" t="str">
        <f>IF(LL[[#This Row],[Lab-confirmed?]]="Y",LL[[#This Row],[Test Date]],"")</f>
        <v/>
      </c>
      <c r="BE234" s="2" t="str">
        <f>IF(LL[[#This Row],[Lab-confirmed?]]="Y",LL[[#This Row],[Test Date 2]],"")</f>
        <v/>
      </c>
      <c r="BF234" s="139" t="str">
        <f>IF(LL[[#This Row],[Date Reported to Public Health]]&gt;0,LL[[#This Row],[Date Reported to Public Health]],"")</f>
        <v/>
      </c>
      <c r="BG234" s="13" t="str">
        <f t="shared" si="3"/>
        <v/>
      </c>
    </row>
    <row r="235" spans="1:59" x14ac:dyDescent="0.3">
      <c r="A235" s="11">
        <v>231</v>
      </c>
      <c r="B235" s="12"/>
      <c r="C235" s="13"/>
      <c r="D235" s="12"/>
      <c r="E235" s="12"/>
      <c r="F235" s="12"/>
      <c r="G235" s="16"/>
      <c r="H235" s="12"/>
      <c r="I235" s="14"/>
      <c r="J235" s="137"/>
      <c r="K235" s="137"/>
      <c r="L235" s="18"/>
      <c r="M235" s="139"/>
      <c r="N235" s="140"/>
      <c r="O235" s="137"/>
      <c r="P235" s="137"/>
      <c r="Q235" s="15"/>
      <c r="R235" s="12"/>
      <c r="S235" s="12"/>
      <c r="T235" s="12"/>
      <c r="U235" s="14"/>
      <c r="V235" s="15"/>
      <c r="W235" s="12"/>
      <c r="X235" s="12"/>
      <c r="Y235" s="12"/>
      <c r="Z235" s="12"/>
      <c r="AA235" s="12"/>
      <c r="AB235" s="14"/>
      <c r="AC235" s="15"/>
      <c r="AD235" s="12"/>
      <c r="AE235" s="12"/>
      <c r="AF235" s="14"/>
      <c r="AG235" s="18"/>
      <c r="AH235" s="18"/>
      <c r="AI235" s="17"/>
      <c r="AJ235" s="181"/>
      <c r="AK235" s="13"/>
      <c r="AL235" s="181"/>
      <c r="AM235" s="175"/>
      <c r="AN235" s="192"/>
      <c r="AO235" s="13"/>
      <c r="AP235" s="181"/>
      <c r="AQ235" s="175"/>
      <c r="AR235" s="18"/>
      <c r="AS235" s="12"/>
      <c r="AT235" s="12"/>
      <c r="AU235" s="12"/>
      <c r="AV235" s="12"/>
      <c r="AW235" s="137"/>
      <c r="AX235" s="13"/>
      <c r="AY235" s="138"/>
      <c r="AZ235" s="140"/>
      <c r="BA235" s="18"/>
      <c r="BB235" s="18" t="e">
        <f>IF(#REF!&lt;&gt;0,IF(LL[[#This Row],[Date of Birth]]&lt;&gt;0,YEAR(#REF!-LL[[#This Row],[Date of Birth]])-1900,""),"")</f>
        <v>#REF!</v>
      </c>
      <c r="BC235" s="2" t="str">
        <f>IF(LL[[#This Row],[Sx Onset Date]]&gt;0,LL[[#This Row],[Sx Onset Date]],"")</f>
        <v/>
      </c>
      <c r="BD235" s="2" t="str">
        <f>IF(LL[[#This Row],[Lab-confirmed?]]="Y",LL[[#This Row],[Test Date]],"")</f>
        <v/>
      </c>
      <c r="BE235" s="2" t="str">
        <f>IF(LL[[#This Row],[Lab-confirmed?]]="Y",LL[[#This Row],[Test Date 2]],"")</f>
        <v/>
      </c>
      <c r="BF235" s="139" t="str">
        <f>IF(LL[[#This Row],[Date Reported to Public Health]]&gt;0,LL[[#This Row],[Date Reported to Public Health]],"")</f>
        <v/>
      </c>
      <c r="BG235" s="13" t="str">
        <f t="shared" si="3"/>
        <v/>
      </c>
    </row>
    <row r="236" spans="1:59" x14ac:dyDescent="0.3">
      <c r="A236" s="11">
        <v>232</v>
      </c>
      <c r="B236" s="12"/>
      <c r="C236" s="13"/>
      <c r="D236" s="12"/>
      <c r="E236" s="12"/>
      <c r="F236" s="12"/>
      <c r="G236" s="16"/>
      <c r="H236" s="12"/>
      <c r="I236" s="14"/>
      <c r="J236" s="137"/>
      <c r="K236" s="137"/>
      <c r="L236" s="18"/>
      <c r="M236" s="139"/>
      <c r="N236" s="140"/>
      <c r="O236" s="137"/>
      <c r="P236" s="137"/>
      <c r="Q236" s="15"/>
      <c r="R236" s="12"/>
      <c r="S236" s="12"/>
      <c r="T236" s="12"/>
      <c r="U236" s="14"/>
      <c r="V236" s="15"/>
      <c r="W236" s="12"/>
      <c r="X236" s="12"/>
      <c r="Y236" s="12"/>
      <c r="Z236" s="12"/>
      <c r="AA236" s="12"/>
      <c r="AB236" s="14"/>
      <c r="AC236" s="15"/>
      <c r="AD236" s="12"/>
      <c r="AE236" s="12"/>
      <c r="AF236" s="14"/>
      <c r="AG236" s="18"/>
      <c r="AH236" s="18"/>
      <c r="AI236" s="17"/>
      <c r="AJ236" s="181"/>
      <c r="AK236" s="13"/>
      <c r="AL236" s="181"/>
      <c r="AM236" s="175"/>
      <c r="AN236" s="192"/>
      <c r="AO236" s="13"/>
      <c r="AP236" s="181"/>
      <c r="AQ236" s="175"/>
      <c r="AR236" s="18"/>
      <c r="AS236" s="12"/>
      <c r="AT236" s="12"/>
      <c r="AU236" s="12"/>
      <c r="AV236" s="12"/>
      <c r="AW236" s="137"/>
      <c r="AX236" s="13"/>
      <c r="AY236" s="138"/>
      <c r="AZ236" s="140"/>
      <c r="BA236" s="18"/>
      <c r="BB236" s="18" t="e">
        <f>IF(#REF!&lt;&gt;0,IF(LL[[#This Row],[Date of Birth]]&lt;&gt;0,YEAR(#REF!-LL[[#This Row],[Date of Birth]])-1900,""),"")</f>
        <v>#REF!</v>
      </c>
      <c r="BC236" s="2" t="str">
        <f>IF(LL[[#This Row],[Sx Onset Date]]&gt;0,LL[[#This Row],[Sx Onset Date]],"")</f>
        <v/>
      </c>
      <c r="BD236" s="2" t="str">
        <f>IF(LL[[#This Row],[Lab-confirmed?]]="Y",LL[[#This Row],[Test Date]],"")</f>
        <v/>
      </c>
      <c r="BE236" s="2" t="str">
        <f>IF(LL[[#This Row],[Lab-confirmed?]]="Y",LL[[#This Row],[Test Date 2]],"")</f>
        <v/>
      </c>
      <c r="BF236" s="139" t="str">
        <f>IF(LL[[#This Row],[Date Reported to Public Health]]&gt;0,LL[[#This Row],[Date Reported to Public Health]],"")</f>
        <v/>
      </c>
      <c r="BG236" s="13" t="str">
        <f t="shared" si="3"/>
        <v/>
      </c>
    </row>
    <row r="237" spans="1:59" x14ac:dyDescent="0.3">
      <c r="A237" s="11">
        <v>233</v>
      </c>
      <c r="B237" s="12"/>
      <c r="C237" s="13"/>
      <c r="D237" s="12"/>
      <c r="E237" s="12"/>
      <c r="F237" s="12"/>
      <c r="G237" s="16"/>
      <c r="H237" s="12"/>
      <c r="I237" s="14"/>
      <c r="J237" s="137"/>
      <c r="K237" s="137"/>
      <c r="L237" s="18"/>
      <c r="M237" s="139"/>
      <c r="N237" s="140"/>
      <c r="O237" s="137"/>
      <c r="P237" s="137"/>
      <c r="Q237" s="15"/>
      <c r="R237" s="12"/>
      <c r="S237" s="12"/>
      <c r="T237" s="12"/>
      <c r="U237" s="14"/>
      <c r="V237" s="15"/>
      <c r="W237" s="12"/>
      <c r="X237" s="12"/>
      <c r="Y237" s="12"/>
      <c r="Z237" s="12"/>
      <c r="AA237" s="12"/>
      <c r="AB237" s="14"/>
      <c r="AC237" s="15"/>
      <c r="AD237" s="12"/>
      <c r="AE237" s="12"/>
      <c r="AF237" s="14"/>
      <c r="AG237" s="18"/>
      <c r="AH237" s="18"/>
      <c r="AI237" s="17"/>
      <c r="AJ237" s="181"/>
      <c r="AK237" s="13"/>
      <c r="AL237" s="181"/>
      <c r="AM237" s="175"/>
      <c r="AN237" s="192"/>
      <c r="AO237" s="13"/>
      <c r="AP237" s="181"/>
      <c r="AQ237" s="175"/>
      <c r="AR237" s="18"/>
      <c r="AS237" s="12"/>
      <c r="AT237" s="12"/>
      <c r="AU237" s="12"/>
      <c r="AV237" s="12"/>
      <c r="AW237" s="137"/>
      <c r="AX237" s="13"/>
      <c r="AY237" s="138"/>
      <c r="AZ237" s="140"/>
      <c r="BA237" s="18"/>
      <c r="BB237" s="18" t="e">
        <f>IF(#REF!&lt;&gt;0,IF(LL[[#This Row],[Date of Birth]]&lt;&gt;0,YEAR(#REF!-LL[[#This Row],[Date of Birth]])-1900,""),"")</f>
        <v>#REF!</v>
      </c>
      <c r="BC237" s="2" t="str">
        <f>IF(LL[[#This Row],[Sx Onset Date]]&gt;0,LL[[#This Row],[Sx Onset Date]],"")</f>
        <v/>
      </c>
      <c r="BD237" s="2" t="str">
        <f>IF(LL[[#This Row],[Lab-confirmed?]]="Y",LL[[#This Row],[Test Date]],"")</f>
        <v/>
      </c>
      <c r="BE237" s="2" t="str">
        <f>IF(LL[[#This Row],[Lab-confirmed?]]="Y",LL[[#This Row],[Test Date 2]],"")</f>
        <v/>
      </c>
      <c r="BF237" s="139" t="str">
        <f>IF(LL[[#This Row],[Date Reported to Public Health]]&gt;0,LL[[#This Row],[Date Reported to Public Health]],"")</f>
        <v/>
      </c>
      <c r="BG237" s="13" t="str">
        <f t="shared" si="3"/>
        <v/>
      </c>
    </row>
    <row r="238" spans="1:59" x14ac:dyDescent="0.3">
      <c r="A238" s="11">
        <v>234</v>
      </c>
      <c r="B238" s="12"/>
      <c r="C238" s="13"/>
      <c r="D238" s="12"/>
      <c r="E238" s="12"/>
      <c r="F238" s="12"/>
      <c r="G238" s="16"/>
      <c r="H238" s="12"/>
      <c r="I238" s="14"/>
      <c r="J238" s="137"/>
      <c r="K238" s="137"/>
      <c r="L238" s="18"/>
      <c r="M238" s="139"/>
      <c r="N238" s="140"/>
      <c r="O238" s="137"/>
      <c r="P238" s="137"/>
      <c r="Q238" s="15"/>
      <c r="R238" s="12"/>
      <c r="S238" s="12"/>
      <c r="T238" s="12"/>
      <c r="U238" s="14"/>
      <c r="V238" s="15"/>
      <c r="W238" s="12"/>
      <c r="X238" s="12"/>
      <c r="Y238" s="12"/>
      <c r="Z238" s="12"/>
      <c r="AA238" s="12"/>
      <c r="AB238" s="14"/>
      <c r="AC238" s="15"/>
      <c r="AD238" s="12"/>
      <c r="AE238" s="12"/>
      <c r="AF238" s="14"/>
      <c r="AG238" s="18"/>
      <c r="AH238" s="18"/>
      <c r="AI238" s="17"/>
      <c r="AJ238" s="181"/>
      <c r="AK238" s="13"/>
      <c r="AL238" s="181"/>
      <c r="AM238" s="175"/>
      <c r="AN238" s="192"/>
      <c r="AO238" s="13"/>
      <c r="AP238" s="181"/>
      <c r="AQ238" s="175"/>
      <c r="AR238" s="18"/>
      <c r="AS238" s="12"/>
      <c r="AT238" s="12"/>
      <c r="AU238" s="12"/>
      <c r="AV238" s="12"/>
      <c r="AW238" s="137"/>
      <c r="AX238" s="13"/>
      <c r="AY238" s="138"/>
      <c r="AZ238" s="140"/>
      <c r="BA238" s="18"/>
      <c r="BB238" s="18" t="e">
        <f>IF(#REF!&lt;&gt;0,IF(LL[[#This Row],[Date of Birth]]&lt;&gt;0,YEAR(#REF!-LL[[#This Row],[Date of Birth]])-1900,""),"")</f>
        <v>#REF!</v>
      </c>
      <c r="BC238" s="2" t="str">
        <f>IF(LL[[#This Row],[Sx Onset Date]]&gt;0,LL[[#This Row],[Sx Onset Date]],"")</f>
        <v/>
      </c>
      <c r="BD238" s="2" t="str">
        <f>IF(LL[[#This Row],[Lab-confirmed?]]="Y",LL[[#This Row],[Test Date]],"")</f>
        <v/>
      </c>
      <c r="BE238" s="2" t="str">
        <f>IF(LL[[#This Row],[Lab-confirmed?]]="Y",LL[[#This Row],[Test Date 2]],"")</f>
        <v/>
      </c>
      <c r="BF238" s="139" t="str">
        <f>IF(LL[[#This Row],[Date Reported to Public Health]]&gt;0,LL[[#This Row],[Date Reported to Public Health]],"")</f>
        <v/>
      </c>
      <c r="BG238" s="13" t="str">
        <f t="shared" si="3"/>
        <v/>
      </c>
    </row>
    <row r="239" spans="1:59" x14ac:dyDescent="0.3">
      <c r="A239" s="11">
        <v>235</v>
      </c>
      <c r="B239" s="12"/>
      <c r="C239" s="13"/>
      <c r="D239" s="12"/>
      <c r="E239" s="12"/>
      <c r="F239" s="12"/>
      <c r="G239" s="16"/>
      <c r="H239" s="12"/>
      <c r="I239" s="14"/>
      <c r="J239" s="137"/>
      <c r="K239" s="137"/>
      <c r="L239" s="18"/>
      <c r="M239" s="139"/>
      <c r="N239" s="140"/>
      <c r="O239" s="137"/>
      <c r="P239" s="137"/>
      <c r="Q239" s="15"/>
      <c r="R239" s="12"/>
      <c r="S239" s="12"/>
      <c r="T239" s="12"/>
      <c r="U239" s="14"/>
      <c r="V239" s="15"/>
      <c r="W239" s="12"/>
      <c r="X239" s="12"/>
      <c r="Y239" s="12"/>
      <c r="Z239" s="12"/>
      <c r="AA239" s="12"/>
      <c r="AB239" s="14"/>
      <c r="AC239" s="15"/>
      <c r="AD239" s="12"/>
      <c r="AE239" s="12"/>
      <c r="AF239" s="14"/>
      <c r="AG239" s="18"/>
      <c r="AH239" s="18"/>
      <c r="AI239" s="17"/>
      <c r="AJ239" s="181"/>
      <c r="AK239" s="13"/>
      <c r="AL239" s="181"/>
      <c r="AM239" s="175"/>
      <c r="AN239" s="192"/>
      <c r="AO239" s="13"/>
      <c r="AP239" s="181"/>
      <c r="AQ239" s="175"/>
      <c r="AR239" s="18"/>
      <c r="AS239" s="12"/>
      <c r="AT239" s="12"/>
      <c r="AU239" s="12"/>
      <c r="AV239" s="12"/>
      <c r="AW239" s="137"/>
      <c r="AX239" s="13"/>
      <c r="AY239" s="138"/>
      <c r="AZ239" s="140"/>
      <c r="BA239" s="18"/>
      <c r="BB239" s="18" t="e">
        <f>IF(#REF!&lt;&gt;0,IF(LL[[#This Row],[Date of Birth]]&lt;&gt;0,YEAR(#REF!-LL[[#This Row],[Date of Birth]])-1900,""),"")</f>
        <v>#REF!</v>
      </c>
      <c r="BC239" s="2" t="str">
        <f>IF(LL[[#This Row],[Sx Onset Date]]&gt;0,LL[[#This Row],[Sx Onset Date]],"")</f>
        <v/>
      </c>
      <c r="BD239" s="2" t="str">
        <f>IF(LL[[#This Row],[Lab-confirmed?]]="Y",LL[[#This Row],[Test Date]],"")</f>
        <v/>
      </c>
      <c r="BE239" s="2" t="str">
        <f>IF(LL[[#This Row],[Lab-confirmed?]]="Y",LL[[#This Row],[Test Date 2]],"")</f>
        <v/>
      </c>
      <c r="BF239" s="139" t="str">
        <f>IF(LL[[#This Row],[Date Reported to Public Health]]&gt;0,LL[[#This Row],[Date Reported to Public Health]],"")</f>
        <v/>
      </c>
      <c r="BG239" s="13" t="str">
        <f t="shared" si="3"/>
        <v/>
      </c>
    </row>
    <row r="240" spans="1:59" x14ac:dyDescent="0.3">
      <c r="A240" s="11">
        <v>236</v>
      </c>
      <c r="B240" s="12"/>
      <c r="C240" s="13"/>
      <c r="D240" s="12"/>
      <c r="E240" s="12"/>
      <c r="F240" s="12"/>
      <c r="G240" s="16"/>
      <c r="H240" s="12"/>
      <c r="I240" s="14"/>
      <c r="J240" s="137"/>
      <c r="K240" s="137"/>
      <c r="L240" s="18"/>
      <c r="M240" s="139"/>
      <c r="N240" s="140"/>
      <c r="O240" s="137"/>
      <c r="P240" s="137"/>
      <c r="Q240" s="15"/>
      <c r="R240" s="12"/>
      <c r="S240" s="12"/>
      <c r="T240" s="12"/>
      <c r="U240" s="14"/>
      <c r="V240" s="15"/>
      <c r="W240" s="12"/>
      <c r="X240" s="12"/>
      <c r="Y240" s="12"/>
      <c r="Z240" s="12"/>
      <c r="AA240" s="12"/>
      <c r="AB240" s="14"/>
      <c r="AC240" s="15"/>
      <c r="AD240" s="12"/>
      <c r="AE240" s="12"/>
      <c r="AF240" s="14"/>
      <c r="AG240" s="18"/>
      <c r="AH240" s="18"/>
      <c r="AI240" s="17"/>
      <c r="AJ240" s="181"/>
      <c r="AK240" s="13"/>
      <c r="AL240" s="181"/>
      <c r="AM240" s="175"/>
      <c r="AN240" s="192"/>
      <c r="AO240" s="13"/>
      <c r="AP240" s="181"/>
      <c r="AQ240" s="175"/>
      <c r="AR240" s="18"/>
      <c r="AS240" s="12"/>
      <c r="AT240" s="12"/>
      <c r="AU240" s="12"/>
      <c r="AV240" s="12"/>
      <c r="AW240" s="137"/>
      <c r="AX240" s="13"/>
      <c r="AY240" s="138"/>
      <c r="AZ240" s="140"/>
      <c r="BA240" s="18"/>
      <c r="BB240" s="18" t="e">
        <f>IF(#REF!&lt;&gt;0,IF(LL[[#This Row],[Date of Birth]]&lt;&gt;0,YEAR(#REF!-LL[[#This Row],[Date of Birth]])-1900,""),"")</f>
        <v>#REF!</v>
      </c>
      <c r="BC240" s="2" t="str">
        <f>IF(LL[[#This Row],[Sx Onset Date]]&gt;0,LL[[#This Row],[Sx Onset Date]],"")</f>
        <v/>
      </c>
      <c r="BD240" s="2" t="str">
        <f>IF(LL[[#This Row],[Lab-confirmed?]]="Y",LL[[#This Row],[Test Date]],"")</f>
        <v/>
      </c>
      <c r="BE240" s="2" t="str">
        <f>IF(LL[[#This Row],[Lab-confirmed?]]="Y",LL[[#This Row],[Test Date 2]],"")</f>
        <v/>
      </c>
      <c r="BF240" s="139" t="str">
        <f>IF(LL[[#This Row],[Date Reported to Public Health]]&gt;0,LL[[#This Row],[Date Reported to Public Health]],"")</f>
        <v/>
      </c>
      <c r="BG240" s="13" t="str">
        <f t="shared" si="3"/>
        <v/>
      </c>
    </row>
    <row r="241" spans="1:59" x14ac:dyDescent="0.3">
      <c r="A241" s="11">
        <v>237</v>
      </c>
      <c r="B241" s="12"/>
      <c r="C241" s="13"/>
      <c r="D241" s="12"/>
      <c r="E241" s="12"/>
      <c r="F241" s="12"/>
      <c r="G241" s="16"/>
      <c r="H241" s="12"/>
      <c r="I241" s="14"/>
      <c r="J241" s="137"/>
      <c r="K241" s="137"/>
      <c r="L241" s="18"/>
      <c r="M241" s="139"/>
      <c r="N241" s="140"/>
      <c r="O241" s="137"/>
      <c r="P241" s="137"/>
      <c r="Q241" s="15"/>
      <c r="R241" s="12"/>
      <c r="S241" s="12"/>
      <c r="T241" s="12"/>
      <c r="U241" s="14"/>
      <c r="V241" s="15"/>
      <c r="W241" s="12"/>
      <c r="X241" s="12"/>
      <c r="Y241" s="12"/>
      <c r="Z241" s="12"/>
      <c r="AA241" s="12"/>
      <c r="AB241" s="14"/>
      <c r="AC241" s="15"/>
      <c r="AD241" s="12"/>
      <c r="AE241" s="12"/>
      <c r="AF241" s="14"/>
      <c r="AG241" s="18"/>
      <c r="AH241" s="18"/>
      <c r="AI241" s="17"/>
      <c r="AJ241" s="181"/>
      <c r="AK241" s="13"/>
      <c r="AL241" s="181"/>
      <c r="AM241" s="175"/>
      <c r="AN241" s="192"/>
      <c r="AO241" s="13"/>
      <c r="AP241" s="181"/>
      <c r="AQ241" s="175"/>
      <c r="AR241" s="18"/>
      <c r="AS241" s="12"/>
      <c r="AT241" s="12"/>
      <c r="AU241" s="12"/>
      <c r="AV241" s="12"/>
      <c r="AW241" s="137"/>
      <c r="AX241" s="13"/>
      <c r="AY241" s="138"/>
      <c r="AZ241" s="140"/>
      <c r="BA241" s="18"/>
      <c r="BB241" s="18" t="e">
        <f>IF(#REF!&lt;&gt;0,IF(LL[[#This Row],[Date of Birth]]&lt;&gt;0,YEAR(#REF!-LL[[#This Row],[Date of Birth]])-1900,""),"")</f>
        <v>#REF!</v>
      </c>
      <c r="BC241" s="2" t="str">
        <f>IF(LL[[#This Row],[Sx Onset Date]]&gt;0,LL[[#This Row],[Sx Onset Date]],"")</f>
        <v/>
      </c>
      <c r="BD241" s="2" t="str">
        <f>IF(LL[[#This Row],[Lab-confirmed?]]="Y",LL[[#This Row],[Test Date]],"")</f>
        <v/>
      </c>
      <c r="BE241" s="2" t="str">
        <f>IF(LL[[#This Row],[Lab-confirmed?]]="Y",LL[[#This Row],[Test Date 2]],"")</f>
        <v/>
      </c>
      <c r="BF241" s="139" t="str">
        <f>IF(LL[[#This Row],[Date Reported to Public Health]]&gt;0,LL[[#This Row],[Date Reported to Public Health]],"")</f>
        <v/>
      </c>
      <c r="BG241" s="13" t="str">
        <f t="shared" si="3"/>
        <v/>
      </c>
    </row>
    <row r="242" spans="1:59" x14ac:dyDescent="0.3">
      <c r="A242" s="11">
        <v>238</v>
      </c>
      <c r="B242" s="12"/>
      <c r="C242" s="13"/>
      <c r="D242" s="12"/>
      <c r="E242" s="12"/>
      <c r="F242" s="12"/>
      <c r="G242" s="16"/>
      <c r="H242" s="12"/>
      <c r="I242" s="14"/>
      <c r="J242" s="137"/>
      <c r="K242" s="137"/>
      <c r="L242" s="18"/>
      <c r="M242" s="139"/>
      <c r="N242" s="140"/>
      <c r="O242" s="137"/>
      <c r="P242" s="137"/>
      <c r="Q242" s="15"/>
      <c r="R242" s="12"/>
      <c r="S242" s="12"/>
      <c r="T242" s="12"/>
      <c r="U242" s="14"/>
      <c r="V242" s="15"/>
      <c r="W242" s="12"/>
      <c r="X242" s="12"/>
      <c r="Y242" s="12"/>
      <c r="Z242" s="12"/>
      <c r="AA242" s="12"/>
      <c r="AB242" s="14"/>
      <c r="AC242" s="15"/>
      <c r="AD242" s="12"/>
      <c r="AE242" s="12"/>
      <c r="AF242" s="14"/>
      <c r="AG242" s="18"/>
      <c r="AH242" s="18"/>
      <c r="AI242" s="17"/>
      <c r="AJ242" s="181"/>
      <c r="AK242" s="13"/>
      <c r="AL242" s="181"/>
      <c r="AM242" s="175"/>
      <c r="AN242" s="192"/>
      <c r="AO242" s="13"/>
      <c r="AP242" s="181"/>
      <c r="AQ242" s="175"/>
      <c r="AR242" s="18"/>
      <c r="AS242" s="12"/>
      <c r="AT242" s="12"/>
      <c r="AU242" s="12"/>
      <c r="AV242" s="12"/>
      <c r="AW242" s="137"/>
      <c r="AX242" s="13"/>
      <c r="AY242" s="138"/>
      <c r="AZ242" s="140"/>
      <c r="BA242" s="18"/>
      <c r="BB242" s="18" t="e">
        <f>IF(#REF!&lt;&gt;0,IF(LL[[#This Row],[Date of Birth]]&lt;&gt;0,YEAR(#REF!-LL[[#This Row],[Date of Birth]])-1900,""),"")</f>
        <v>#REF!</v>
      </c>
      <c r="BC242" s="2" t="str">
        <f>IF(LL[[#This Row],[Sx Onset Date]]&gt;0,LL[[#This Row],[Sx Onset Date]],"")</f>
        <v/>
      </c>
      <c r="BD242" s="2" t="str">
        <f>IF(LL[[#This Row],[Lab-confirmed?]]="Y",LL[[#This Row],[Test Date]],"")</f>
        <v/>
      </c>
      <c r="BE242" s="2" t="str">
        <f>IF(LL[[#This Row],[Lab-confirmed?]]="Y",LL[[#This Row],[Test Date 2]],"")</f>
        <v/>
      </c>
      <c r="BF242" s="139" t="str">
        <f>IF(LL[[#This Row],[Date Reported to Public Health]]&gt;0,LL[[#This Row],[Date Reported to Public Health]],"")</f>
        <v/>
      </c>
      <c r="BG242" s="13" t="str">
        <f t="shared" si="3"/>
        <v/>
      </c>
    </row>
    <row r="243" spans="1:59" x14ac:dyDescent="0.3">
      <c r="A243" s="11">
        <v>239</v>
      </c>
      <c r="B243" s="12"/>
      <c r="C243" s="13"/>
      <c r="D243" s="12"/>
      <c r="E243" s="12"/>
      <c r="F243" s="12"/>
      <c r="G243" s="16"/>
      <c r="H243" s="12"/>
      <c r="I243" s="14"/>
      <c r="J243" s="137"/>
      <c r="K243" s="137"/>
      <c r="L243" s="18"/>
      <c r="M243" s="139"/>
      <c r="N243" s="140"/>
      <c r="O243" s="137"/>
      <c r="P243" s="137"/>
      <c r="Q243" s="15"/>
      <c r="R243" s="12"/>
      <c r="S243" s="12"/>
      <c r="T243" s="12"/>
      <c r="U243" s="14"/>
      <c r="V243" s="15"/>
      <c r="W243" s="12"/>
      <c r="X243" s="12"/>
      <c r="Y243" s="12"/>
      <c r="Z243" s="12"/>
      <c r="AA243" s="12"/>
      <c r="AB243" s="14"/>
      <c r="AC243" s="15"/>
      <c r="AD243" s="12"/>
      <c r="AE243" s="12"/>
      <c r="AF243" s="14"/>
      <c r="AG243" s="18"/>
      <c r="AH243" s="18"/>
      <c r="AI243" s="17"/>
      <c r="AJ243" s="181"/>
      <c r="AK243" s="13"/>
      <c r="AL243" s="181"/>
      <c r="AM243" s="175"/>
      <c r="AN243" s="192"/>
      <c r="AO243" s="13"/>
      <c r="AP243" s="181"/>
      <c r="AQ243" s="175"/>
      <c r="AR243" s="18"/>
      <c r="AS243" s="12"/>
      <c r="AT243" s="12"/>
      <c r="AU243" s="12"/>
      <c r="AV243" s="12"/>
      <c r="AW243" s="137"/>
      <c r="AX243" s="13"/>
      <c r="AY243" s="138"/>
      <c r="AZ243" s="140"/>
      <c r="BA243" s="18"/>
      <c r="BB243" s="18" t="e">
        <f>IF(#REF!&lt;&gt;0,IF(LL[[#This Row],[Date of Birth]]&lt;&gt;0,YEAR(#REF!-LL[[#This Row],[Date of Birth]])-1900,""),"")</f>
        <v>#REF!</v>
      </c>
      <c r="BC243" s="2" t="str">
        <f>IF(LL[[#This Row],[Sx Onset Date]]&gt;0,LL[[#This Row],[Sx Onset Date]],"")</f>
        <v/>
      </c>
      <c r="BD243" s="2" t="str">
        <f>IF(LL[[#This Row],[Lab-confirmed?]]="Y",LL[[#This Row],[Test Date]],"")</f>
        <v/>
      </c>
      <c r="BE243" s="2" t="str">
        <f>IF(LL[[#This Row],[Lab-confirmed?]]="Y",LL[[#This Row],[Test Date 2]],"")</f>
        <v/>
      </c>
      <c r="BF243" s="139" t="str">
        <f>IF(LL[[#This Row],[Date Reported to Public Health]]&gt;0,LL[[#This Row],[Date Reported to Public Health]],"")</f>
        <v/>
      </c>
      <c r="BG243" s="13" t="str">
        <f t="shared" si="3"/>
        <v/>
      </c>
    </row>
    <row r="244" spans="1:59" x14ac:dyDescent="0.3">
      <c r="A244" s="11">
        <v>240</v>
      </c>
      <c r="B244" s="12"/>
      <c r="C244" s="13"/>
      <c r="D244" s="12"/>
      <c r="E244" s="12"/>
      <c r="F244" s="12"/>
      <c r="G244" s="16"/>
      <c r="H244" s="12"/>
      <c r="I244" s="14"/>
      <c r="J244" s="137"/>
      <c r="K244" s="137"/>
      <c r="L244" s="18"/>
      <c r="M244" s="139"/>
      <c r="N244" s="140"/>
      <c r="O244" s="137"/>
      <c r="P244" s="137"/>
      <c r="Q244" s="15"/>
      <c r="R244" s="12"/>
      <c r="S244" s="12"/>
      <c r="T244" s="12"/>
      <c r="U244" s="14"/>
      <c r="V244" s="15"/>
      <c r="W244" s="12"/>
      <c r="X244" s="12"/>
      <c r="Y244" s="12"/>
      <c r="Z244" s="12"/>
      <c r="AA244" s="12"/>
      <c r="AB244" s="14"/>
      <c r="AC244" s="15"/>
      <c r="AD244" s="12"/>
      <c r="AE244" s="12"/>
      <c r="AF244" s="14"/>
      <c r="AG244" s="18"/>
      <c r="AH244" s="18"/>
      <c r="AI244" s="17"/>
      <c r="AJ244" s="181"/>
      <c r="AK244" s="13"/>
      <c r="AL244" s="181"/>
      <c r="AM244" s="175"/>
      <c r="AN244" s="192"/>
      <c r="AO244" s="13"/>
      <c r="AP244" s="181"/>
      <c r="AQ244" s="175"/>
      <c r="AR244" s="18"/>
      <c r="AS244" s="12"/>
      <c r="AT244" s="12"/>
      <c r="AU244" s="12"/>
      <c r="AV244" s="12"/>
      <c r="AW244" s="137"/>
      <c r="AX244" s="13"/>
      <c r="AY244" s="138"/>
      <c r="AZ244" s="140"/>
      <c r="BA244" s="18"/>
      <c r="BB244" s="18" t="e">
        <f>IF(#REF!&lt;&gt;0,IF(LL[[#This Row],[Date of Birth]]&lt;&gt;0,YEAR(#REF!-LL[[#This Row],[Date of Birth]])-1900,""),"")</f>
        <v>#REF!</v>
      </c>
      <c r="BC244" s="2" t="str">
        <f>IF(LL[[#This Row],[Sx Onset Date]]&gt;0,LL[[#This Row],[Sx Onset Date]],"")</f>
        <v/>
      </c>
      <c r="BD244" s="2" t="str">
        <f>IF(LL[[#This Row],[Lab-confirmed?]]="Y",LL[[#This Row],[Test Date]],"")</f>
        <v/>
      </c>
      <c r="BE244" s="2" t="str">
        <f>IF(LL[[#This Row],[Lab-confirmed?]]="Y",LL[[#This Row],[Test Date 2]],"")</f>
        <v/>
      </c>
      <c r="BF244" s="139" t="str">
        <f>IF(LL[[#This Row],[Date Reported to Public Health]]&gt;0,LL[[#This Row],[Date Reported to Public Health]],"")</f>
        <v/>
      </c>
      <c r="BG244" s="13" t="str">
        <f t="shared" si="3"/>
        <v/>
      </c>
    </row>
    <row r="245" spans="1:59" x14ac:dyDescent="0.3">
      <c r="A245" s="11">
        <v>241</v>
      </c>
      <c r="B245" s="12"/>
      <c r="C245" s="13"/>
      <c r="D245" s="12"/>
      <c r="E245" s="12"/>
      <c r="F245" s="12"/>
      <c r="G245" s="16"/>
      <c r="H245" s="12"/>
      <c r="I245" s="14"/>
      <c r="J245" s="137"/>
      <c r="K245" s="137"/>
      <c r="L245" s="18"/>
      <c r="M245" s="139"/>
      <c r="N245" s="140"/>
      <c r="O245" s="137"/>
      <c r="P245" s="137"/>
      <c r="Q245" s="15"/>
      <c r="R245" s="12"/>
      <c r="S245" s="12"/>
      <c r="T245" s="12"/>
      <c r="U245" s="14"/>
      <c r="V245" s="15"/>
      <c r="W245" s="12"/>
      <c r="X245" s="12"/>
      <c r="Y245" s="12"/>
      <c r="Z245" s="12"/>
      <c r="AA245" s="12"/>
      <c r="AB245" s="14"/>
      <c r="AC245" s="15"/>
      <c r="AD245" s="12"/>
      <c r="AE245" s="12"/>
      <c r="AF245" s="14"/>
      <c r="AG245" s="18"/>
      <c r="AH245" s="18"/>
      <c r="AI245" s="17"/>
      <c r="AJ245" s="181"/>
      <c r="AK245" s="13"/>
      <c r="AL245" s="181"/>
      <c r="AM245" s="175"/>
      <c r="AN245" s="192"/>
      <c r="AO245" s="13"/>
      <c r="AP245" s="181"/>
      <c r="AQ245" s="175"/>
      <c r="AR245" s="18"/>
      <c r="AS245" s="12"/>
      <c r="AT245" s="12"/>
      <c r="AU245" s="12"/>
      <c r="AV245" s="12"/>
      <c r="AW245" s="137"/>
      <c r="AX245" s="13"/>
      <c r="AY245" s="138"/>
      <c r="AZ245" s="140"/>
      <c r="BA245" s="18"/>
      <c r="BB245" s="18" t="e">
        <f>IF(#REF!&lt;&gt;0,IF(LL[[#This Row],[Date of Birth]]&lt;&gt;0,YEAR(#REF!-LL[[#This Row],[Date of Birth]])-1900,""),"")</f>
        <v>#REF!</v>
      </c>
      <c r="BC245" s="2" t="str">
        <f>IF(LL[[#This Row],[Sx Onset Date]]&gt;0,LL[[#This Row],[Sx Onset Date]],"")</f>
        <v/>
      </c>
      <c r="BD245" s="2" t="str">
        <f>IF(LL[[#This Row],[Lab-confirmed?]]="Y",LL[[#This Row],[Test Date]],"")</f>
        <v/>
      </c>
      <c r="BE245" s="2" t="str">
        <f>IF(LL[[#This Row],[Lab-confirmed?]]="Y",LL[[#This Row],[Test Date 2]],"")</f>
        <v/>
      </c>
      <c r="BF245" s="139" t="str">
        <f>IF(LL[[#This Row],[Date Reported to Public Health]]&gt;0,LL[[#This Row],[Date Reported to Public Health]],"")</f>
        <v/>
      </c>
      <c r="BG245" s="13" t="str">
        <f t="shared" si="3"/>
        <v/>
      </c>
    </row>
    <row r="246" spans="1:59" x14ac:dyDescent="0.3">
      <c r="A246" s="11">
        <v>242</v>
      </c>
      <c r="B246" s="12"/>
      <c r="C246" s="13"/>
      <c r="D246" s="12"/>
      <c r="E246" s="12"/>
      <c r="F246" s="12"/>
      <c r="G246" s="16"/>
      <c r="H246" s="12"/>
      <c r="I246" s="14"/>
      <c r="J246" s="137"/>
      <c r="K246" s="137"/>
      <c r="L246" s="18"/>
      <c r="M246" s="139"/>
      <c r="N246" s="140"/>
      <c r="O246" s="137"/>
      <c r="P246" s="137"/>
      <c r="Q246" s="15"/>
      <c r="R246" s="12"/>
      <c r="S246" s="12"/>
      <c r="T246" s="12"/>
      <c r="U246" s="14"/>
      <c r="V246" s="15"/>
      <c r="W246" s="12"/>
      <c r="X246" s="12"/>
      <c r="Y246" s="12"/>
      <c r="Z246" s="12"/>
      <c r="AA246" s="12"/>
      <c r="AB246" s="14"/>
      <c r="AC246" s="15"/>
      <c r="AD246" s="12"/>
      <c r="AE246" s="12"/>
      <c r="AF246" s="14"/>
      <c r="AG246" s="18"/>
      <c r="AH246" s="18"/>
      <c r="AI246" s="17"/>
      <c r="AJ246" s="181"/>
      <c r="AK246" s="13"/>
      <c r="AL246" s="181"/>
      <c r="AM246" s="175"/>
      <c r="AN246" s="192"/>
      <c r="AO246" s="13"/>
      <c r="AP246" s="181"/>
      <c r="AQ246" s="175"/>
      <c r="AR246" s="18"/>
      <c r="AS246" s="12"/>
      <c r="AT246" s="12"/>
      <c r="AU246" s="12"/>
      <c r="AV246" s="12"/>
      <c r="AW246" s="137"/>
      <c r="AX246" s="13"/>
      <c r="AY246" s="138"/>
      <c r="AZ246" s="140"/>
      <c r="BA246" s="18"/>
      <c r="BB246" s="18" t="e">
        <f>IF(#REF!&lt;&gt;0,IF(LL[[#This Row],[Date of Birth]]&lt;&gt;0,YEAR(#REF!-LL[[#This Row],[Date of Birth]])-1900,""),"")</f>
        <v>#REF!</v>
      </c>
      <c r="BC246" s="2" t="str">
        <f>IF(LL[[#This Row],[Sx Onset Date]]&gt;0,LL[[#This Row],[Sx Onset Date]],"")</f>
        <v/>
      </c>
      <c r="BD246" s="2" t="str">
        <f>IF(LL[[#This Row],[Lab-confirmed?]]="Y",LL[[#This Row],[Test Date]],"")</f>
        <v/>
      </c>
      <c r="BE246" s="2" t="str">
        <f>IF(LL[[#This Row],[Lab-confirmed?]]="Y",LL[[#This Row],[Test Date 2]],"")</f>
        <v/>
      </c>
      <c r="BF246" s="139" t="str">
        <f>IF(LL[[#This Row],[Date Reported to Public Health]]&gt;0,LL[[#This Row],[Date Reported to Public Health]],"")</f>
        <v/>
      </c>
      <c r="BG246" s="13" t="str">
        <f t="shared" si="3"/>
        <v/>
      </c>
    </row>
    <row r="247" spans="1:59" x14ac:dyDescent="0.3">
      <c r="A247" s="11">
        <v>243</v>
      </c>
      <c r="B247" s="12"/>
      <c r="C247" s="13"/>
      <c r="D247" s="12"/>
      <c r="E247" s="12"/>
      <c r="F247" s="12"/>
      <c r="G247" s="16"/>
      <c r="H247" s="12"/>
      <c r="I247" s="14"/>
      <c r="J247" s="137"/>
      <c r="K247" s="137"/>
      <c r="L247" s="18"/>
      <c r="M247" s="139"/>
      <c r="N247" s="140"/>
      <c r="O247" s="137"/>
      <c r="P247" s="137"/>
      <c r="Q247" s="15"/>
      <c r="R247" s="12"/>
      <c r="S247" s="12"/>
      <c r="T247" s="12"/>
      <c r="U247" s="14"/>
      <c r="V247" s="15"/>
      <c r="W247" s="12"/>
      <c r="X247" s="12"/>
      <c r="Y247" s="12"/>
      <c r="Z247" s="12"/>
      <c r="AA247" s="12"/>
      <c r="AB247" s="14"/>
      <c r="AC247" s="15"/>
      <c r="AD247" s="12"/>
      <c r="AE247" s="12"/>
      <c r="AF247" s="14"/>
      <c r="AG247" s="18"/>
      <c r="AH247" s="18"/>
      <c r="AI247" s="17"/>
      <c r="AJ247" s="181"/>
      <c r="AK247" s="13"/>
      <c r="AL247" s="181"/>
      <c r="AM247" s="175"/>
      <c r="AN247" s="192"/>
      <c r="AO247" s="13"/>
      <c r="AP247" s="181"/>
      <c r="AQ247" s="175"/>
      <c r="AR247" s="18"/>
      <c r="AS247" s="12"/>
      <c r="AT247" s="12"/>
      <c r="AU247" s="12"/>
      <c r="AV247" s="12"/>
      <c r="AW247" s="137"/>
      <c r="AX247" s="13"/>
      <c r="AY247" s="138"/>
      <c r="AZ247" s="140"/>
      <c r="BA247" s="18"/>
      <c r="BB247" s="18" t="e">
        <f>IF(#REF!&lt;&gt;0,IF(LL[[#This Row],[Date of Birth]]&lt;&gt;0,YEAR(#REF!-LL[[#This Row],[Date of Birth]])-1900,""),"")</f>
        <v>#REF!</v>
      </c>
      <c r="BC247" s="2" t="str">
        <f>IF(LL[[#This Row],[Sx Onset Date]]&gt;0,LL[[#This Row],[Sx Onset Date]],"")</f>
        <v/>
      </c>
      <c r="BD247" s="2" t="str">
        <f>IF(LL[[#This Row],[Lab-confirmed?]]="Y",LL[[#This Row],[Test Date]],"")</f>
        <v/>
      </c>
      <c r="BE247" s="2" t="str">
        <f>IF(LL[[#This Row],[Lab-confirmed?]]="Y",LL[[#This Row],[Test Date 2]],"")</f>
        <v/>
      </c>
      <c r="BF247" s="139" t="str">
        <f>IF(LL[[#This Row],[Date Reported to Public Health]]&gt;0,LL[[#This Row],[Date Reported to Public Health]],"")</f>
        <v/>
      </c>
      <c r="BG247" s="13" t="str">
        <f t="shared" si="3"/>
        <v/>
      </c>
    </row>
    <row r="248" spans="1:59" x14ac:dyDescent="0.3">
      <c r="A248" s="11">
        <v>244</v>
      </c>
      <c r="B248" s="12"/>
      <c r="C248" s="13"/>
      <c r="D248" s="12"/>
      <c r="E248" s="12"/>
      <c r="F248" s="12"/>
      <c r="G248" s="16"/>
      <c r="H248" s="12"/>
      <c r="I248" s="14"/>
      <c r="J248" s="137"/>
      <c r="K248" s="137"/>
      <c r="L248" s="18"/>
      <c r="M248" s="139"/>
      <c r="N248" s="140"/>
      <c r="O248" s="137"/>
      <c r="P248" s="137"/>
      <c r="Q248" s="15"/>
      <c r="R248" s="12"/>
      <c r="S248" s="12"/>
      <c r="T248" s="12"/>
      <c r="U248" s="14"/>
      <c r="V248" s="15"/>
      <c r="W248" s="12"/>
      <c r="X248" s="12"/>
      <c r="Y248" s="12"/>
      <c r="Z248" s="12"/>
      <c r="AA248" s="12"/>
      <c r="AB248" s="14"/>
      <c r="AC248" s="15"/>
      <c r="AD248" s="12"/>
      <c r="AE248" s="12"/>
      <c r="AF248" s="14"/>
      <c r="AG248" s="18"/>
      <c r="AH248" s="18"/>
      <c r="AI248" s="17"/>
      <c r="AJ248" s="181"/>
      <c r="AK248" s="13"/>
      <c r="AL248" s="181"/>
      <c r="AM248" s="175"/>
      <c r="AN248" s="192"/>
      <c r="AO248" s="13"/>
      <c r="AP248" s="181"/>
      <c r="AQ248" s="175"/>
      <c r="AR248" s="18"/>
      <c r="AS248" s="12"/>
      <c r="AT248" s="12"/>
      <c r="AU248" s="12"/>
      <c r="AV248" s="12"/>
      <c r="AW248" s="137"/>
      <c r="AX248" s="13"/>
      <c r="AY248" s="138"/>
      <c r="AZ248" s="140"/>
      <c r="BA248" s="18"/>
      <c r="BB248" s="18" t="e">
        <f>IF(#REF!&lt;&gt;0,IF(LL[[#This Row],[Date of Birth]]&lt;&gt;0,YEAR(#REF!-LL[[#This Row],[Date of Birth]])-1900,""),"")</f>
        <v>#REF!</v>
      </c>
      <c r="BC248" s="2" t="str">
        <f>IF(LL[[#This Row],[Sx Onset Date]]&gt;0,LL[[#This Row],[Sx Onset Date]],"")</f>
        <v/>
      </c>
      <c r="BD248" s="2" t="str">
        <f>IF(LL[[#This Row],[Lab-confirmed?]]="Y",LL[[#This Row],[Test Date]],"")</f>
        <v/>
      </c>
      <c r="BE248" s="2" t="str">
        <f>IF(LL[[#This Row],[Lab-confirmed?]]="Y",LL[[#This Row],[Test Date 2]],"")</f>
        <v/>
      </c>
      <c r="BF248" s="139" t="str">
        <f>IF(LL[[#This Row],[Date Reported to Public Health]]&gt;0,LL[[#This Row],[Date Reported to Public Health]],"")</f>
        <v/>
      </c>
      <c r="BG248" s="13" t="str">
        <f t="shared" si="3"/>
        <v/>
      </c>
    </row>
    <row r="249" spans="1:59" x14ac:dyDescent="0.3">
      <c r="A249" s="11">
        <v>245</v>
      </c>
      <c r="B249" s="12"/>
      <c r="C249" s="13"/>
      <c r="D249" s="12"/>
      <c r="E249" s="12"/>
      <c r="F249" s="12"/>
      <c r="G249" s="16"/>
      <c r="H249" s="12"/>
      <c r="I249" s="14"/>
      <c r="J249" s="137"/>
      <c r="K249" s="137"/>
      <c r="L249" s="18"/>
      <c r="M249" s="139"/>
      <c r="N249" s="140"/>
      <c r="O249" s="137"/>
      <c r="P249" s="137"/>
      <c r="Q249" s="15"/>
      <c r="R249" s="12"/>
      <c r="S249" s="12"/>
      <c r="T249" s="12"/>
      <c r="U249" s="14"/>
      <c r="V249" s="15"/>
      <c r="W249" s="12"/>
      <c r="X249" s="12"/>
      <c r="Y249" s="12"/>
      <c r="Z249" s="12"/>
      <c r="AA249" s="12"/>
      <c r="AB249" s="14"/>
      <c r="AC249" s="15"/>
      <c r="AD249" s="12"/>
      <c r="AE249" s="12"/>
      <c r="AF249" s="14"/>
      <c r="AG249" s="18"/>
      <c r="AH249" s="18"/>
      <c r="AI249" s="17"/>
      <c r="AJ249" s="181"/>
      <c r="AK249" s="13"/>
      <c r="AL249" s="181"/>
      <c r="AM249" s="175"/>
      <c r="AN249" s="192"/>
      <c r="AO249" s="13"/>
      <c r="AP249" s="181"/>
      <c r="AQ249" s="175"/>
      <c r="AR249" s="18"/>
      <c r="AS249" s="12"/>
      <c r="AT249" s="12"/>
      <c r="AU249" s="12"/>
      <c r="AV249" s="12"/>
      <c r="AW249" s="137"/>
      <c r="AX249" s="13"/>
      <c r="AY249" s="138"/>
      <c r="AZ249" s="140"/>
      <c r="BA249" s="18"/>
      <c r="BB249" s="18" t="e">
        <f>IF(#REF!&lt;&gt;0,IF(LL[[#This Row],[Date of Birth]]&lt;&gt;0,YEAR(#REF!-LL[[#This Row],[Date of Birth]])-1900,""),"")</f>
        <v>#REF!</v>
      </c>
      <c r="BC249" s="2" t="str">
        <f>IF(LL[[#This Row],[Sx Onset Date]]&gt;0,LL[[#This Row],[Sx Onset Date]],"")</f>
        <v/>
      </c>
      <c r="BD249" s="2" t="str">
        <f>IF(LL[[#This Row],[Lab-confirmed?]]="Y",LL[[#This Row],[Test Date]],"")</f>
        <v/>
      </c>
      <c r="BE249" s="2" t="str">
        <f>IF(LL[[#This Row],[Lab-confirmed?]]="Y",LL[[#This Row],[Test Date 2]],"")</f>
        <v/>
      </c>
      <c r="BF249" s="139" t="str">
        <f>IF(LL[[#This Row],[Date Reported to Public Health]]&gt;0,LL[[#This Row],[Date Reported to Public Health]],"")</f>
        <v/>
      </c>
      <c r="BG249" s="13" t="str">
        <f t="shared" si="3"/>
        <v/>
      </c>
    </row>
    <row r="250" spans="1:59" x14ac:dyDescent="0.3">
      <c r="A250" s="11">
        <v>246</v>
      </c>
      <c r="B250" s="12"/>
      <c r="C250" s="13"/>
      <c r="D250" s="12"/>
      <c r="E250" s="12"/>
      <c r="F250" s="12"/>
      <c r="G250" s="16"/>
      <c r="H250" s="12"/>
      <c r="I250" s="14"/>
      <c r="J250" s="137"/>
      <c r="K250" s="137"/>
      <c r="L250" s="18"/>
      <c r="M250" s="139"/>
      <c r="N250" s="140"/>
      <c r="O250" s="137"/>
      <c r="P250" s="137"/>
      <c r="Q250" s="15"/>
      <c r="R250" s="12"/>
      <c r="S250" s="12"/>
      <c r="T250" s="12"/>
      <c r="U250" s="14"/>
      <c r="V250" s="15"/>
      <c r="W250" s="12"/>
      <c r="X250" s="12"/>
      <c r="Y250" s="12"/>
      <c r="Z250" s="12"/>
      <c r="AA250" s="12"/>
      <c r="AB250" s="14"/>
      <c r="AC250" s="15"/>
      <c r="AD250" s="12"/>
      <c r="AE250" s="12"/>
      <c r="AF250" s="14"/>
      <c r="AG250" s="18"/>
      <c r="AH250" s="18"/>
      <c r="AI250" s="17"/>
      <c r="AJ250" s="181"/>
      <c r="AK250" s="13"/>
      <c r="AL250" s="181"/>
      <c r="AM250" s="175"/>
      <c r="AN250" s="192"/>
      <c r="AO250" s="13"/>
      <c r="AP250" s="181"/>
      <c r="AQ250" s="175"/>
      <c r="AR250" s="18"/>
      <c r="AS250" s="12"/>
      <c r="AT250" s="12"/>
      <c r="AU250" s="12"/>
      <c r="AV250" s="12"/>
      <c r="AW250" s="137"/>
      <c r="AX250" s="13"/>
      <c r="AY250" s="138"/>
      <c r="AZ250" s="140"/>
      <c r="BA250" s="18"/>
      <c r="BB250" s="18" t="e">
        <f>IF(#REF!&lt;&gt;0,IF(LL[[#This Row],[Date of Birth]]&lt;&gt;0,YEAR(#REF!-LL[[#This Row],[Date of Birth]])-1900,""),"")</f>
        <v>#REF!</v>
      </c>
      <c r="BC250" s="2" t="str">
        <f>IF(LL[[#This Row],[Sx Onset Date]]&gt;0,LL[[#This Row],[Sx Onset Date]],"")</f>
        <v/>
      </c>
      <c r="BD250" s="2" t="str">
        <f>IF(LL[[#This Row],[Lab-confirmed?]]="Y",LL[[#This Row],[Test Date]],"")</f>
        <v/>
      </c>
      <c r="BE250" s="2" t="str">
        <f>IF(LL[[#This Row],[Lab-confirmed?]]="Y",LL[[#This Row],[Test Date 2]],"")</f>
        <v/>
      </c>
      <c r="BF250" s="139" t="str">
        <f>IF(LL[[#This Row],[Date Reported to Public Health]]&gt;0,LL[[#This Row],[Date Reported to Public Health]],"")</f>
        <v/>
      </c>
      <c r="BG250" s="13" t="str">
        <f t="shared" si="3"/>
        <v/>
      </c>
    </row>
    <row r="251" spans="1:59" x14ac:dyDescent="0.3">
      <c r="A251" s="11">
        <v>247</v>
      </c>
      <c r="B251" s="12"/>
      <c r="C251" s="13"/>
      <c r="D251" s="12"/>
      <c r="E251" s="12"/>
      <c r="F251" s="12"/>
      <c r="G251" s="16"/>
      <c r="H251" s="12"/>
      <c r="I251" s="14"/>
      <c r="J251" s="137"/>
      <c r="K251" s="137"/>
      <c r="L251" s="18"/>
      <c r="M251" s="139"/>
      <c r="N251" s="140"/>
      <c r="O251" s="137"/>
      <c r="P251" s="137"/>
      <c r="Q251" s="15"/>
      <c r="R251" s="12"/>
      <c r="S251" s="12"/>
      <c r="T251" s="12"/>
      <c r="U251" s="14"/>
      <c r="V251" s="15"/>
      <c r="W251" s="12"/>
      <c r="X251" s="12"/>
      <c r="Y251" s="12"/>
      <c r="Z251" s="12"/>
      <c r="AA251" s="12"/>
      <c r="AB251" s="14"/>
      <c r="AC251" s="15"/>
      <c r="AD251" s="12"/>
      <c r="AE251" s="12"/>
      <c r="AF251" s="14"/>
      <c r="AG251" s="18"/>
      <c r="AH251" s="18"/>
      <c r="AI251" s="17"/>
      <c r="AJ251" s="181"/>
      <c r="AK251" s="13"/>
      <c r="AL251" s="181"/>
      <c r="AM251" s="175"/>
      <c r="AN251" s="192"/>
      <c r="AO251" s="13"/>
      <c r="AP251" s="181"/>
      <c r="AQ251" s="175"/>
      <c r="AR251" s="18"/>
      <c r="AS251" s="12"/>
      <c r="AT251" s="12"/>
      <c r="AU251" s="12"/>
      <c r="AV251" s="12"/>
      <c r="AW251" s="137"/>
      <c r="AX251" s="13"/>
      <c r="AY251" s="138"/>
      <c r="AZ251" s="140"/>
      <c r="BA251" s="18"/>
      <c r="BB251" s="18" t="e">
        <f>IF(#REF!&lt;&gt;0,IF(LL[[#This Row],[Date of Birth]]&lt;&gt;0,YEAR(#REF!-LL[[#This Row],[Date of Birth]])-1900,""),"")</f>
        <v>#REF!</v>
      </c>
      <c r="BC251" s="2" t="str">
        <f>IF(LL[[#This Row],[Sx Onset Date]]&gt;0,LL[[#This Row],[Sx Onset Date]],"")</f>
        <v/>
      </c>
      <c r="BD251" s="2" t="str">
        <f>IF(LL[[#This Row],[Lab-confirmed?]]="Y",LL[[#This Row],[Test Date]],"")</f>
        <v/>
      </c>
      <c r="BE251" s="2" t="str">
        <f>IF(LL[[#This Row],[Lab-confirmed?]]="Y",LL[[#This Row],[Test Date 2]],"")</f>
        <v/>
      </c>
      <c r="BF251" s="139" t="str">
        <f>IF(LL[[#This Row],[Date Reported to Public Health]]&gt;0,LL[[#This Row],[Date Reported to Public Health]],"")</f>
        <v/>
      </c>
      <c r="BG251" s="13" t="str">
        <f t="shared" si="3"/>
        <v/>
      </c>
    </row>
    <row r="252" spans="1:59" x14ac:dyDescent="0.3">
      <c r="A252" s="11">
        <v>248</v>
      </c>
      <c r="B252" s="12"/>
      <c r="C252" s="13"/>
      <c r="D252" s="12"/>
      <c r="E252" s="12"/>
      <c r="F252" s="12"/>
      <c r="G252" s="16"/>
      <c r="H252" s="12"/>
      <c r="I252" s="14"/>
      <c r="J252" s="137"/>
      <c r="K252" s="137"/>
      <c r="L252" s="18"/>
      <c r="M252" s="139"/>
      <c r="N252" s="140"/>
      <c r="O252" s="137"/>
      <c r="P252" s="137"/>
      <c r="Q252" s="15"/>
      <c r="R252" s="12"/>
      <c r="S252" s="12"/>
      <c r="T252" s="12"/>
      <c r="U252" s="14"/>
      <c r="V252" s="15"/>
      <c r="W252" s="12"/>
      <c r="X252" s="12"/>
      <c r="Y252" s="12"/>
      <c r="Z252" s="12"/>
      <c r="AA252" s="12"/>
      <c r="AB252" s="14"/>
      <c r="AC252" s="15"/>
      <c r="AD252" s="12"/>
      <c r="AE252" s="12"/>
      <c r="AF252" s="14"/>
      <c r="AG252" s="18"/>
      <c r="AH252" s="18"/>
      <c r="AI252" s="17"/>
      <c r="AJ252" s="181"/>
      <c r="AK252" s="13"/>
      <c r="AL252" s="181"/>
      <c r="AM252" s="175"/>
      <c r="AN252" s="192"/>
      <c r="AO252" s="13"/>
      <c r="AP252" s="181"/>
      <c r="AQ252" s="175"/>
      <c r="AR252" s="18"/>
      <c r="AS252" s="12"/>
      <c r="AT252" s="12"/>
      <c r="AU252" s="12"/>
      <c r="AV252" s="12"/>
      <c r="AW252" s="137"/>
      <c r="AX252" s="13"/>
      <c r="AY252" s="138"/>
      <c r="AZ252" s="140"/>
      <c r="BA252" s="18"/>
      <c r="BB252" s="18" t="e">
        <f>IF(#REF!&lt;&gt;0,IF(LL[[#This Row],[Date of Birth]]&lt;&gt;0,YEAR(#REF!-LL[[#This Row],[Date of Birth]])-1900,""),"")</f>
        <v>#REF!</v>
      </c>
      <c r="BC252" s="2" t="str">
        <f>IF(LL[[#This Row],[Sx Onset Date]]&gt;0,LL[[#This Row],[Sx Onset Date]],"")</f>
        <v/>
      </c>
      <c r="BD252" s="2" t="str">
        <f>IF(LL[[#This Row],[Lab-confirmed?]]="Y",LL[[#This Row],[Test Date]],"")</f>
        <v/>
      </c>
      <c r="BE252" s="2" t="str">
        <f>IF(LL[[#This Row],[Lab-confirmed?]]="Y",LL[[#This Row],[Test Date 2]],"")</f>
        <v/>
      </c>
      <c r="BF252" s="139" t="str">
        <f>IF(LL[[#This Row],[Date Reported to Public Health]]&gt;0,LL[[#This Row],[Date Reported to Public Health]],"")</f>
        <v/>
      </c>
      <c r="BG252" s="13" t="str">
        <f t="shared" si="3"/>
        <v/>
      </c>
    </row>
    <row r="253" spans="1:59" x14ac:dyDescent="0.3">
      <c r="A253" s="11">
        <v>249</v>
      </c>
      <c r="B253" s="12"/>
      <c r="C253" s="13"/>
      <c r="D253" s="12"/>
      <c r="E253" s="12"/>
      <c r="F253" s="12"/>
      <c r="G253" s="16"/>
      <c r="H253" s="12"/>
      <c r="I253" s="14"/>
      <c r="J253" s="137"/>
      <c r="K253" s="137"/>
      <c r="L253" s="18"/>
      <c r="M253" s="139"/>
      <c r="N253" s="140"/>
      <c r="O253" s="137"/>
      <c r="P253" s="137"/>
      <c r="Q253" s="15"/>
      <c r="R253" s="12"/>
      <c r="S253" s="12"/>
      <c r="T253" s="12"/>
      <c r="U253" s="14"/>
      <c r="V253" s="15"/>
      <c r="W253" s="12"/>
      <c r="X253" s="12"/>
      <c r="Y253" s="12"/>
      <c r="Z253" s="12"/>
      <c r="AA253" s="12"/>
      <c r="AB253" s="14"/>
      <c r="AC253" s="15"/>
      <c r="AD253" s="12"/>
      <c r="AE253" s="12"/>
      <c r="AF253" s="14"/>
      <c r="AG253" s="18"/>
      <c r="AH253" s="18"/>
      <c r="AI253" s="17"/>
      <c r="AJ253" s="181"/>
      <c r="AK253" s="13"/>
      <c r="AL253" s="181"/>
      <c r="AM253" s="175"/>
      <c r="AN253" s="192"/>
      <c r="AO253" s="13"/>
      <c r="AP253" s="181"/>
      <c r="AQ253" s="175"/>
      <c r="AR253" s="18"/>
      <c r="AS253" s="12"/>
      <c r="AT253" s="12"/>
      <c r="AU253" s="12"/>
      <c r="AV253" s="12"/>
      <c r="AW253" s="137"/>
      <c r="AX253" s="13"/>
      <c r="AY253" s="138"/>
      <c r="AZ253" s="140"/>
      <c r="BA253" s="18"/>
      <c r="BB253" s="18" t="e">
        <f>IF(#REF!&lt;&gt;0,IF(LL[[#This Row],[Date of Birth]]&lt;&gt;0,YEAR(#REF!-LL[[#This Row],[Date of Birth]])-1900,""),"")</f>
        <v>#REF!</v>
      </c>
      <c r="BC253" s="2" t="str">
        <f>IF(LL[[#This Row],[Sx Onset Date]]&gt;0,LL[[#This Row],[Sx Onset Date]],"")</f>
        <v/>
      </c>
      <c r="BD253" s="2" t="str">
        <f>IF(LL[[#This Row],[Lab-confirmed?]]="Y",LL[[#This Row],[Test Date]],"")</f>
        <v/>
      </c>
      <c r="BE253" s="2" t="str">
        <f>IF(LL[[#This Row],[Lab-confirmed?]]="Y",LL[[#This Row],[Test Date 2]],"")</f>
        <v/>
      </c>
      <c r="BF253" s="139" t="str">
        <f>IF(LL[[#This Row],[Date Reported to Public Health]]&gt;0,LL[[#This Row],[Date Reported to Public Health]],"")</f>
        <v/>
      </c>
      <c r="BG253" s="13" t="str">
        <f t="shared" si="3"/>
        <v/>
      </c>
    </row>
    <row r="254" spans="1:59" x14ac:dyDescent="0.3">
      <c r="A254" s="11">
        <v>250</v>
      </c>
      <c r="B254" s="12"/>
      <c r="C254" s="13"/>
      <c r="D254" s="12"/>
      <c r="E254" s="12"/>
      <c r="F254" s="12"/>
      <c r="G254" s="16"/>
      <c r="H254" s="12"/>
      <c r="I254" s="14"/>
      <c r="J254" s="137"/>
      <c r="K254" s="137"/>
      <c r="L254" s="18"/>
      <c r="M254" s="139"/>
      <c r="N254" s="140"/>
      <c r="O254" s="137"/>
      <c r="P254" s="137"/>
      <c r="Q254" s="15"/>
      <c r="R254" s="12"/>
      <c r="S254" s="12"/>
      <c r="T254" s="12"/>
      <c r="U254" s="14"/>
      <c r="V254" s="15"/>
      <c r="W254" s="12"/>
      <c r="X254" s="12"/>
      <c r="Y254" s="12"/>
      <c r="Z254" s="12"/>
      <c r="AA254" s="12"/>
      <c r="AB254" s="14"/>
      <c r="AC254" s="15"/>
      <c r="AD254" s="12"/>
      <c r="AE254" s="12"/>
      <c r="AF254" s="14"/>
      <c r="AG254" s="18"/>
      <c r="AH254" s="18"/>
      <c r="AI254" s="17"/>
      <c r="AJ254" s="181"/>
      <c r="AK254" s="13"/>
      <c r="AL254" s="181"/>
      <c r="AM254" s="175"/>
      <c r="AN254" s="192"/>
      <c r="AO254" s="13"/>
      <c r="AP254" s="181"/>
      <c r="AQ254" s="175"/>
      <c r="AR254" s="18"/>
      <c r="AS254" s="12"/>
      <c r="AT254" s="12"/>
      <c r="AU254" s="12"/>
      <c r="AV254" s="12"/>
      <c r="AW254" s="137"/>
      <c r="AX254" s="13"/>
      <c r="AY254" s="138"/>
      <c r="AZ254" s="140"/>
      <c r="BA254" s="18"/>
      <c r="BB254" s="18" t="e">
        <f>IF(#REF!&lt;&gt;0,IF(LL[[#This Row],[Date of Birth]]&lt;&gt;0,YEAR(#REF!-LL[[#This Row],[Date of Birth]])-1900,""),"")</f>
        <v>#REF!</v>
      </c>
      <c r="BC254" s="2" t="str">
        <f>IF(LL[[#This Row],[Sx Onset Date]]&gt;0,LL[[#This Row],[Sx Onset Date]],"")</f>
        <v/>
      </c>
      <c r="BD254" s="2" t="str">
        <f>IF(LL[[#This Row],[Lab-confirmed?]]="Y",LL[[#This Row],[Test Date]],"")</f>
        <v/>
      </c>
      <c r="BE254" s="2" t="str">
        <f>IF(LL[[#This Row],[Lab-confirmed?]]="Y",LL[[#This Row],[Test Date 2]],"")</f>
        <v/>
      </c>
      <c r="BF254" s="139" t="str">
        <f>IF(LL[[#This Row],[Date Reported to Public Health]]&gt;0,LL[[#This Row],[Date Reported to Public Health]],"")</f>
        <v/>
      </c>
      <c r="BG254" s="13" t="str">
        <f t="shared" si="3"/>
        <v/>
      </c>
    </row>
    <row r="255" spans="1:59" x14ac:dyDescent="0.3">
      <c r="A255" s="11">
        <v>251</v>
      </c>
      <c r="B255" s="12"/>
      <c r="C255" s="13"/>
      <c r="D255" s="12"/>
      <c r="E255" s="12"/>
      <c r="F255" s="12"/>
      <c r="G255" s="16"/>
      <c r="H255" s="12"/>
      <c r="I255" s="14"/>
      <c r="J255" s="137"/>
      <c r="K255" s="137"/>
      <c r="L255" s="18"/>
      <c r="M255" s="139"/>
      <c r="N255" s="140"/>
      <c r="O255" s="137"/>
      <c r="P255" s="137"/>
      <c r="Q255" s="15"/>
      <c r="R255" s="12"/>
      <c r="S255" s="12"/>
      <c r="T255" s="12"/>
      <c r="U255" s="14"/>
      <c r="V255" s="15"/>
      <c r="W255" s="12"/>
      <c r="X255" s="12"/>
      <c r="Y255" s="12"/>
      <c r="Z255" s="12"/>
      <c r="AA255" s="12"/>
      <c r="AB255" s="14"/>
      <c r="AC255" s="15"/>
      <c r="AD255" s="12"/>
      <c r="AE255" s="12"/>
      <c r="AF255" s="14"/>
      <c r="AG255" s="18"/>
      <c r="AH255" s="18"/>
      <c r="AI255" s="17"/>
      <c r="AJ255" s="181"/>
      <c r="AK255" s="13"/>
      <c r="AL255" s="181"/>
      <c r="AM255" s="175"/>
      <c r="AN255" s="192"/>
      <c r="AO255" s="13"/>
      <c r="AP255" s="181"/>
      <c r="AQ255" s="175"/>
      <c r="AR255" s="18"/>
      <c r="AS255" s="12"/>
      <c r="AT255" s="12"/>
      <c r="AU255" s="12"/>
      <c r="AV255" s="12"/>
      <c r="AW255" s="137"/>
      <c r="AX255" s="13"/>
      <c r="AY255" s="138"/>
      <c r="AZ255" s="140"/>
      <c r="BA255" s="18"/>
      <c r="BB255" s="18" t="e">
        <f>IF(#REF!&lt;&gt;0,IF(LL[[#This Row],[Date of Birth]]&lt;&gt;0,YEAR(#REF!-LL[[#This Row],[Date of Birth]])-1900,""),"")</f>
        <v>#REF!</v>
      </c>
      <c r="BC255" s="2" t="str">
        <f>IF(LL[[#This Row],[Sx Onset Date]]&gt;0,LL[[#This Row],[Sx Onset Date]],"")</f>
        <v/>
      </c>
      <c r="BD255" s="2" t="str">
        <f>IF(LL[[#This Row],[Lab-confirmed?]]="Y",LL[[#This Row],[Test Date]],"")</f>
        <v/>
      </c>
      <c r="BE255" s="2" t="str">
        <f>IF(LL[[#This Row],[Lab-confirmed?]]="Y",LL[[#This Row],[Test Date 2]],"")</f>
        <v/>
      </c>
      <c r="BF255" s="139" t="str">
        <f>IF(LL[[#This Row],[Date Reported to Public Health]]&gt;0,LL[[#This Row],[Date Reported to Public Health]],"")</f>
        <v/>
      </c>
      <c r="BG255" s="13" t="str">
        <f t="shared" si="3"/>
        <v/>
      </c>
    </row>
    <row r="256" spans="1:59" x14ac:dyDescent="0.3">
      <c r="A256" s="11">
        <v>252</v>
      </c>
      <c r="B256" s="12"/>
      <c r="C256" s="13"/>
      <c r="D256" s="12"/>
      <c r="E256" s="12"/>
      <c r="F256" s="12"/>
      <c r="G256" s="16"/>
      <c r="H256" s="12"/>
      <c r="I256" s="14"/>
      <c r="J256" s="137"/>
      <c r="K256" s="137"/>
      <c r="L256" s="18"/>
      <c r="M256" s="139"/>
      <c r="N256" s="140"/>
      <c r="O256" s="137"/>
      <c r="P256" s="137"/>
      <c r="Q256" s="15"/>
      <c r="R256" s="12"/>
      <c r="S256" s="12"/>
      <c r="T256" s="12"/>
      <c r="U256" s="14"/>
      <c r="V256" s="15"/>
      <c r="W256" s="12"/>
      <c r="X256" s="12"/>
      <c r="Y256" s="12"/>
      <c r="Z256" s="12"/>
      <c r="AA256" s="12"/>
      <c r="AB256" s="14"/>
      <c r="AC256" s="15"/>
      <c r="AD256" s="12"/>
      <c r="AE256" s="12"/>
      <c r="AF256" s="14"/>
      <c r="AG256" s="18"/>
      <c r="AH256" s="18"/>
      <c r="AI256" s="17"/>
      <c r="AJ256" s="181"/>
      <c r="AK256" s="13"/>
      <c r="AL256" s="181"/>
      <c r="AM256" s="175"/>
      <c r="AN256" s="192"/>
      <c r="AO256" s="13"/>
      <c r="AP256" s="181"/>
      <c r="AQ256" s="175"/>
      <c r="AR256" s="18"/>
      <c r="AS256" s="12"/>
      <c r="AT256" s="12"/>
      <c r="AU256" s="12"/>
      <c r="AV256" s="12"/>
      <c r="AW256" s="137"/>
      <c r="AX256" s="13"/>
      <c r="AY256" s="138"/>
      <c r="AZ256" s="140"/>
      <c r="BA256" s="18"/>
      <c r="BB256" s="18" t="e">
        <f>IF(#REF!&lt;&gt;0,IF(LL[[#This Row],[Date of Birth]]&lt;&gt;0,YEAR(#REF!-LL[[#This Row],[Date of Birth]])-1900,""),"")</f>
        <v>#REF!</v>
      </c>
      <c r="BC256" s="2" t="str">
        <f>IF(LL[[#This Row],[Sx Onset Date]]&gt;0,LL[[#This Row],[Sx Onset Date]],"")</f>
        <v/>
      </c>
      <c r="BD256" s="2" t="str">
        <f>IF(LL[[#This Row],[Lab-confirmed?]]="Y",LL[[#This Row],[Test Date]],"")</f>
        <v/>
      </c>
      <c r="BE256" s="2" t="str">
        <f>IF(LL[[#This Row],[Lab-confirmed?]]="Y",LL[[#This Row],[Test Date 2]],"")</f>
        <v/>
      </c>
      <c r="BF256" s="139" t="str">
        <f>IF(LL[[#This Row],[Date Reported to Public Health]]&gt;0,LL[[#This Row],[Date Reported to Public Health]],"")</f>
        <v/>
      </c>
      <c r="BG256" s="13" t="str">
        <f t="shared" si="3"/>
        <v/>
      </c>
    </row>
    <row r="257" spans="1:59" x14ac:dyDescent="0.3">
      <c r="A257" s="11">
        <v>253</v>
      </c>
      <c r="B257" s="12"/>
      <c r="C257" s="13"/>
      <c r="D257" s="12"/>
      <c r="E257" s="12"/>
      <c r="F257" s="12"/>
      <c r="G257" s="16"/>
      <c r="H257" s="12"/>
      <c r="I257" s="14"/>
      <c r="J257" s="137"/>
      <c r="K257" s="137"/>
      <c r="L257" s="18"/>
      <c r="M257" s="139"/>
      <c r="N257" s="140"/>
      <c r="O257" s="137"/>
      <c r="P257" s="137"/>
      <c r="Q257" s="15"/>
      <c r="R257" s="12"/>
      <c r="S257" s="12"/>
      <c r="T257" s="12"/>
      <c r="U257" s="14"/>
      <c r="V257" s="15"/>
      <c r="W257" s="12"/>
      <c r="X257" s="12"/>
      <c r="Y257" s="12"/>
      <c r="Z257" s="12"/>
      <c r="AA257" s="12"/>
      <c r="AB257" s="14"/>
      <c r="AC257" s="15"/>
      <c r="AD257" s="12"/>
      <c r="AE257" s="12"/>
      <c r="AF257" s="14"/>
      <c r="AG257" s="18"/>
      <c r="AH257" s="18"/>
      <c r="AI257" s="17"/>
      <c r="AJ257" s="181"/>
      <c r="AK257" s="13"/>
      <c r="AL257" s="181"/>
      <c r="AM257" s="175"/>
      <c r="AN257" s="192"/>
      <c r="AO257" s="13"/>
      <c r="AP257" s="181"/>
      <c r="AQ257" s="175"/>
      <c r="AR257" s="18"/>
      <c r="AS257" s="12"/>
      <c r="AT257" s="12"/>
      <c r="AU257" s="12"/>
      <c r="AV257" s="12"/>
      <c r="AW257" s="137"/>
      <c r="AX257" s="13"/>
      <c r="AY257" s="138"/>
      <c r="AZ257" s="140"/>
      <c r="BA257" s="18"/>
      <c r="BB257" s="18" t="e">
        <f>IF(#REF!&lt;&gt;0,IF(LL[[#This Row],[Date of Birth]]&lt;&gt;0,YEAR(#REF!-LL[[#This Row],[Date of Birth]])-1900,""),"")</f>
        <v>#REF!</v>
      </c>
      <c r="BC257" s="2" t="str">
        <f>IF(LL[[#This Row],[Sx Onset Date]]&gt;0,LL[[#This Row],[Sx Onset Date]],"")</f>
        <v/>
      </c>
      <c r="BD257" s="2" t="str">
        <f>IF(LL[[#This Row],[Lab-confirmed?]]="Y",LL[[#This Row],[Test Date]],"")</f>
        <v/>
      </c>
      <c r="BE257" s="2" t="str">
        <f>IF(LL[[#This Row],[Lab-confirmed?]]="Y",LL[[#This Row],[Test Date 2]],"")</f>
        <v/>
      </c>
      <c r="BF257" s="139" t="str">
        <f>IF(LL[[#This Row],[Date Reported to Public Health]]&gt;0,LL[[#This Row],[Date Reported to Public Health]],"")</f>
        <v/>
      </c>
      <c r="BG257" s="13" t="str">
        <f t="shared" si="3"/>
        <v/>
      </c>
    </row>
    <row r="258" spans="1:59" x14ac:dyDescent="0.3">
      <c r="A258" s="11">
        <v>254</v>
      </c>
      <c r="B258" s="12"/>
      <c r="C258" s="13"/>
      <c r="D258" s="12"/>
      <c r="E258" s="12"/>
      <c r="F258" s="12"/>
      <c r="G258" s="16"/>
      <c r="H258" s="12"/>
      <c r="I258" s="14"/>
      <c r="J258" s="137"/>
      <c r="K258" s="137"/>
      <c r="L258" s="18"/>
      <c r="M258" s="139"/>
      <c r="N258" s="140"/>
      <c r="O258" s="137"/>
      <c r="P258" s="137"/>
      <c r="Q258" s="15"/>
      <c r="R258" s="12"/>
      <c r="S258" s="12"/>
      <c r="T258" s="12"/>
      <c r="U258" s="14"/>
      <c r="V258" s="15"/>
      <c r="W258" s="12"/>
      <c r="X258" s="12"/>
      <c r="Y258" s="12"/>
      <c r="Z258" s="12"/>
      <c r="AA258" s="12"/>
      <c r="AB258" s="14"/>
      <c r="AC258" s="15"/>
      <c r="AD258" s="12"/>
      <c r="AE258" s="12"/>
      <c r="AF258" s="14"/>
      <c r="AG258" s="18"/>
      <c r="AH258" s="18"/>
      <c r="AI258" s="17"/>
      <c r="AJ258" s="181"/>
      <c r="AK258" s="13"/>
      <c r="AL258" s="181"/>
      <c r="AM258" s="175"/>
      <c r="AN258" s="192"/>
      <c r="AO258" s="13"/>
      <c r="AP258" s="181"/>
      <c r="AQ258" s="175"/>
      <c r="AR258" s="18"/>
      <c r="AS258" s="12"/>
      <c r="AT258" s="12"/>
      <c r="AU258" s="12"/>
      <c r="AV258" s="12"/>
      <c r="AW258" s="137"/>
      <c r="AX258" s="13"/>
      <c r="AY258" s="138"/>
      <c r="AZ258" s="140"/>
      <c r="BA258" s="18"/>
      <c r="BB258" s="18" t="e">
        <f>IF(#REF!&lt;&gt;0,IF(LL[[#This Row],[Date of Birth]]&lt;&gt;0,YEAR(#REF!-LL[[#This Row],[Date of Birth]])-1900,""),"")</f>
        <v>#REF!</v>
      </c>
      <c r="BC258" s="2" t="str">
        <f>IF(LL[[#This Row],[Sx Onset Date]]&gt;0,LL[[#This Row],[Sx Onset Date]],"")</f>
        <v/>
      </c>
      <c r="BD258" s="2" t="str">
        <f>IF(LL[[#This Row],[Lab-confirmed?]]="Y",LL[[#This Row],[Test Date]],"")</f>
        <v/>
      </c>
      <c r="BE258" s="2" t="str">
        <f>IF(LL[[#This Row],[Lab-confirmed?]]="Y",LL[[#This Row],[Test Date 2]],"")</f>
        <v/>
      </c>
      <c r="BF258" s="139" t="str">
        <f>IF(LL[[#This Row],[Date Reported to Public Health]]&gt;0,LL[[#This Row],[Date Reported to Public Health]],"")</f>
        <v/>
      </c>
      <c r="BG258" s="13" t="str">
        <f t="shared" si="3"/>
        <v/>
      </c>
    </row>
    <row r="259" spans="1:59" x14ac:dyDescent="0.3">
      <c r="A259" s="11">
        <v>255</v>
      </c>
      <c r="B259" s="12"/>
      <c r="C259" s="13"/>
      <c r="D259" s="12"/>
      <c r="E259" s="12"/>
      <c r="F259" s="12"/>
      <c r="G259" s="16"/>
      <c r="H259" s="12"/>
      <c r="I259" s="14"/>
      <c r="J259" s="137"/>
      <c r="K259" s="137"/>
      <c r="L259" s="18"/>
      <c r="M259" s="139"/>
      <c r="N259" s="140"/>
      <c r="O259" s="137"/>
      <c r="P259" s="137"/>
      <c r="Q259" s="15"/>
      <c r="R259" s="12"/>
      <c r="S259" s="12"/>
      <c r="T259" s="12"/>
      <c r="U259" s="14"/>
      <c r="V259" s="15"/>
      <c r="W259" s="12"/>
      <c r="X259" s="12"/>
      <c r="Y259" s="12"/>
      <c r="Z259" s="12"/>
      <c r="AA259" s="12"/>
      <c r="AB259" s="14"/>
      <c r="AC259" s="15"/>
      <c r="AD259" s="12"/>
      <c r="AE259" s="12"/>
      <c r="AF259" s="14"/>
      <c r="AG259" s="18"/>
      <c r="AH259" s="18"/>
      <c r="AI259" s="17"/>
      <c r="AJ259" s="181"/>
      <c r="AK259" s="13"/>
      <c r="AL259" s="181"/>
      <c r="AM259" s="175"/>
      <c r="AN259" s="192"/>
      <c r="AO259" s="13"/>
      <c r="AP259" s="181"/>
      <c r="AQ259" s="175"/>
      <c r="AR259" s="18"/>
      <c r="AS259" s="12"/>
      <c r="AT259" s="12"/>
      <c r="AU259" s="12"/>
      <c r="AV259" s="12"/>
      <c r="AW259" s="137"/>
      <c r="AX259" s="13"/>
      <c r="AY259" s="138"/>
      <c r="AZ259" s="140"/>
      <c r="BA259" s="18"/>
      <c r="BB259" s="18" t="e">
        <f>IF(#REF!&lt;&gt;0,IF(LL[[#This Row],[Date of Birth]]&lt;&gt;0,YEAR(#REF!-LL[[#This Row],[Date of Birth]])-1900,""),"")</f>
        <v>#REF!</v>
      </c>
      <c r="BC259" s="2" t="str">
        <f>IF(LL[[#This Row],[Sx Onset Date]]&gt;0,LL[[#This Row],[Sx Onset Date]],"")</f>
        <v/>
      </c>
      <c r="BD259" s="2" t="str">
        <f>IF(LL[[#This Row],[Lab-confirmed?]]="Y",LL[[#This Row],[Test Date]],"")</f>
        <v/>
      </c>
      <c r="BE259" s="2" t="str">
        <f>IF(LL[[#This Row],[Lab-confirmed?]]="Y",LL[[#This Row],[Test Date 2]],"")</f>
        <v/>
      </c>
      <c r="BF259" s="139" t="str">
        <f>IF(LL[[#This Row],[Date Reported to Public Health]]&gt;0,LL[[#This Row],[Date Reported to Public Health]],"")</f>
        <v/>
      </c>
      <c r="BG259" s="13" t="str">
        <f t="shared" si="3"/>
        <v/>
      </c>
    </row>
    <row r="260" spans="1:59" x14ac:dyDescent="0.3">
      <c r="A260" s="11">
        <v>256</v>
      </c>
      <c r="B260" s="12"/>
      <c r="C260" s="13"/>
      <c r="D260" s="12"/>
      <c r="E260" s="12"/>
      <c r="F260" s="12"/>
      <c r="G260" s="16"/>
      <c r="H260" s="12"/>
      <c r="I260" s="14"/>
      <c r="J260" s="137"/>
      <c r="K260" s="137"/>
      <c r="L260" s="18"/>
      <c r="M260" s="139"/>
      <c r="N260" s="140"/>
      <c r="O260" s="137"/>
      <c r="P260" s="137"/>
      <c r="Q260" s="15"/>
      <c r="R260" s="12"/>
      <c r="S260" s="12"/>
      <c r="T260" s="12"/>
      <c r="U260" s="14"/>
      <c r="V260" s="15"/>
      <c r="W260" s="12"/>
      <c r="X260" s="12"/>
      <c r="Y260" s="12"/>
      <c r="Z260" s="12"/>
      <c r="AA260" s="12"/>
      <c r="AB260" s="14"/>
      <c r="AC260" s="15"/>
      <c r="AD260" s="12"/>
      <c r="AE260" s="12"/>
      <c r="AF260" s="14"/>
      <c r="AG260" s="18"/>
      <c r="AH260" s="18"/>
      <c r="AI260" s="17"/>
      <c r="AJ260" s="181"/>
      <c r="AK260" s="13"/>
      <c r="AL260" s="181"/>
      <c r="AM260" s="175"/>
      <c r="AN260" s="192"/>
      <c r="AO260" s="13"/>
      <c r="AP260" s="181"/>
      <c r="AQ260" s="175"/>
      <c r="AR260" s="18"/>
      <c r="AS260" s="12"/>
      <c r="AT260" s="12"/>
      <c r="AU260" s="12"/>
      <c r="AV260" s="12"/>
      <c r="AW260" s="137"/>
      <c r="AX260" s="13"/>
      <c r="AY260" s="138"/>
      <c r="AZ260" s="140"/>
      <c r="BA260" s="18"/>
      <c r="BB260" s="18" t="e">
        <f>IF(#REF!&lt;&gt;0,IF(LL[[#This Row],[Date of Birth]]&lt;&gt;0,YEAR(#REF!-LL[[#This Row],[Date of Birth]])-1900,""),"")</f>
        <v>#REF!</v>
      </c>
      <c r="BC260" s="2" t="str">
        <f>IF(LL[[#This Row],[Sx Onset Date]]&gt;0,LL[[#This Row],[Sx Onset Date]],"")</f>
        <v/>
      </c>
      <c r="BD260" s="2" t="str">
        <f>IF(LL[[#This Row],[Lab-confirmed?]]="Y",LL[[#This Row],[Test Date]],"")</f>
        <v/>
      </c>
      <c r="BE260" s="2" t="str">
        <f>IF(LL[[#This Row],[Lab-confirmed?]]="Y",LL[[#This Row],[Test Date 2]],"")</f>
        <v/>
      </c>
      <c r="BF260" s="139" t="str">
        <f>IF(LL[[#This Row],[Date Reported to Public Health]]&gt;0,LL[[#This Row],[Date Reported to Public Health]],"")</f>
        <v/>
      </c>
      <c r="BG260" s="13" t="str">
        <f t="shared" si="3"/>
        <v/>
      </c>
    </row>
    <row r="261" spans="1:59" x14ac:dyDescent="0.3">
      <c r="A261" s="11">
        <v>257</v>
      </c>
      <c r="B261" s="12"/>
      <c r="C261" s="13"/>
      <c r="D261" s="12"/>
      <c r="E261" s="12"/>
      <c r="F261" s="12"/>
      <c r="G261" s="16"/>
      <c r="H261" s="12"/>
      <c r="I261" s="14"/>
      <c r="J261" s="137"/>
      <c r="K261" s="137"/>
      <c r="L261" s="18"/>
      <c r="M261" s="139"/>
      <c r="N261" s="140"/>
      <c r="O261" s="137"/>
      <c r="P261" s="137"/>
      <c r="Q261" s="15"/>
      <c r="R261" s="12"/>
      <c r="S261" s="12"/>
      <c r="T261" s="12"/>
      <c r="U261" s="14"/>
      <c r="V261" s="15"/>
      <c r="W261" s="12"/>
      <c r="X261" s="12"/>
      <c r="Y261" s="12"/>
      <c r="Z261" s="12"/>
      <c r="AA261" s="12"/>
      <c r="AB261" s="14"/>
      <c r="AC261" s="15"/>
      <c r="AD261" s="12"/>
      <c r="AE261" s="12"/>
      <c r="AF261" s="14"/>
      <c r="AG261" s="18"/>
      <c r="AH261" s="18"/>
      <c r="AI261" s="17"/>
      <c r="AJ261" s="181"/>
      <c r="AK261" s="13"/>
      <c r="AL261" s="181"/>
      <c r="AM261" s="175"/>
      <c r="AN261" s="192"/>
      <c r="AO261" s="13"/>
      <c r="AP261" s="181"/>
      <c r="AQ261" s="175"/>
      <c r="AR261" s="18"/>
      <c r="AS261" s="12"/>
      <c r="AT261" s="12"/>
      <c r="AU261" s="12"/>
      <c r="AV261" s="12"/>
      <c r="AW261" s="137"/>
      <c r="AX261" s="13"/>
      <c r="AY261" s="138"/>
      <c r="AZ261" s="140"/>
      <c r="BA261" s="18"/>
      <c r="BB261" s="18" t="e">
        <f>IF(#REF!&lt;&gt;0,IF(LL[[#This Row],[Date of Birth]]&lt;&gt;0,YEAR(#REF!-LL[[#This Row],[Date of Birth]])-1900,""),"")</f>
        <v>#REF!</v>
      </c>
      <c r="BC261" s="2" t="str">
        <f>IF(LL[[#This Row],[Sx Onset Date]]&gt;0,LL[[#This Row],[Sx Onset Date]],"")</f>
        <v/>
      </c>
      <c r="BD261" s="2" t="str">
        <f>IF(LL[[#This Row],[Lab-confirmed?]]="Y",LL[[#This Row],[Test Date]],"")</f>
        <v/>
      </c>
      <c r="BE261" s="2" t="str">
        <f>IF(LL[[#This Row],[Lab-confirmed?]]="Y",LL[[#This Row],[Test Date 2]],"")</f>
        <v/>
      </c>
      <c r="BF261" s="139" t="str">
        <f>IF(LL[[#This Row],[Date Reported to Public Health]]&gt;0,LL[[#This Row],[Date Reported to Public Health]],"")</f>
        <v/>
      </c>
      <c r="BG261" s="13" t="str">
        <f t="shared" ref="BG261:BG324" si="4">IF(_xlfn.MINIFS(BC261:BF261,BC261:BF261,"&gt;"&amp;0)&gt;0,_xlfn.MINIFS(BC261:BF261,BC261:BF261,"&gt;"&amp;0),"")</f>
        <v/>
      </c>
    </row>
    <row r="262" spans="1:59" x14ac:dyDescent="0.3">
      <c r="A262" s="11">
        <v>258</v>
      </c>
      <c r="B262" s="12"/>
      <c r="C262" s="13"/>
      <c r="D262" s="12"/>
      <c r="E262" s="12"/>
      <c r="F262" s="12"/>
      <c r="G262" s="16"/>
      <c r="H262" s="12"/>
      <c r="I262" s="14"/>
      <c r="J262" s="137"/>
      <c r="K262" s="137"/>
      <c r="L262" s="18"/>
      <c r="M262" s="139"/>
      <c r="N262" s="140"/>
      <c r="O262" s="137"/>
      <c r="P262" s="137"/>
      <c r="Q262" s="15"/>
      <c r="R262" s="12"/>
      <c r="S262" s="12"/>
      <c r="T262" s="12"/>
      <c r="U262" s="14"/>
      <c r="V262" s="15"/>
      <c r="W262" s="12"/>
      <c r="X262" s="12"/>
      <c r="Y262" s="12"/>
      <c r="Z262" s="12"/>
      <c r="AA262" s="12"/>
      <c r="AB262" s="14"/>
      <c r="AC262" s="15"/>
      <c r="AD262" s="12"/>
      <c r="AE262" s="12"/>
      <c r="AF262" s="14"/>
      <c r="AG262" s="18"/>
      <c r="AH262" s="18"/>
      <c r="AI262" s="17"/>
      <c r="AJ262" s="181"/>
      <c r="AK262" s="13"/>
      <c r="AL262" s="181"/>
      <c r="AM262" s="175"/>
      <c r="AN262" s="192"/>
      <c r="AO262" s="13"/>
      <c r="AP262" s="181"/>
      <c r="AQ262" s="175"/>
      <c r="AR262" s="18"/>
      <c r="AS262" s="12"/>
      <c r="AT262" s="12"/>
      <c r="AU262" s="12"/>
      <c r="AV262" s="12"/>
      <c r="AW262" s="137"/>
      <c r="AX262" s="13"/>
      <c r="AY262" s="138"/>
      <c r="AZ262" s="140"/>
      <c r="BA262" s="18"/>
      <c r="BB262" s="18" t="e">
        <f>IF(#REF!&lt;&gt;0,IF(LL[[#This Row],[Date of Birth]]&lt;&gt;0,YEAR(#REF!-LL[[#This Row],[Date of Birth]])-1900,""),"")</f>
        <v>#REF!</v>
      </c>
      <c r="BC262" s="2" t="str">
        <f>IF(LL[[#This Row],[Sx Onset Date]]&gt;0,LL[[#This Row],[Sx Onset Date]],"")</f>
        <v/>
      </c>
      <c r="BD262" s="2" t="str">
        <f>IF(LL[[#This Row],[Lab-confirmed?]]="Y",LL[[#This Row],[Test Date]],"")</f>
        <v/>
      </c>
      <c r="BE262" s="2" t="str">
        <f>IF(LL[[#This Row],[Lab-confirmed?]]="Y",LL[[#This Row],[Test Date 2]],"")</f>
        <v/>
      </c>
      <c r="BF262" s="139" t="str">
        <f>IF(LL[[#This Row],[Date Reported to Public Health]]&gt;0,LL[[#This Row],[Date Reported to Public Health]],"")</f>
        <v/>
      </c>
      <c r="BG262" s="13" t="str">
        <f t="shared" si="4"/>
        <v/>
      </c>
    </row>
    <row r="263" spans="1:59" x14ac:dyDescent="0.3">
      <c r="A263" s="11">
        <v>259</v>
      </c>
      <c r="B263" s="12"/>
      <c r="C263" s="13"/>
      <c r="D263" s="12"/>
      <c r="E263" s="12"/>
      <c r="F263" s="12"/>
      <c r="G263" s="16"/>
      <c r="H263" s="12"/>
      <c r="I263" s="14"/>
      <c r="J263" s="137"/>
      <c r="K263" s="137"/>
      <c r="L263" s="18"/>
      <c r="M263" s="139"/>
      <c r="N263" s="140"/>
      <c r="O263" s="137"/>
      <c r="P263" s="137"/>
      <c r="Q263" s="15"/>
      <c r="R263" s="12"/>
      <c r="S263" s="12"/>
      <c r="T263" s="12"/>
      <c r="U263" s="14"/>
      <c r="V263" s="15"/>
      <c r="W263" s="12"/>
      <c r="X263" s="12"/>
      <c r="Y263" s="12"/>
      <c r="Z263" s="12"/>
      <c r="AA263" s="12"/>
      <c r="AB263" s="14"/>
      <c r="AC263" s="15"/>
      <c r="AD263" s="12"/>
      <c r="AE263" s="12"/>
      <c r="AF263" s="14"/>
      <c r="AG263" s="18"/>
      <c r="AH263" s="18"/>
      <c r="AI263" s="17"/>
      <c r="AJ263" s="181"/>
      <c r="AK263" s="13"/>
      <c r="AL263" s="181"/>
      <c r="AM263" s="175"/>
      <c r="AN263" s="192"/>
      <c r="AO263" s="13"/>
      <c r="AP263" s="181"/>
      <c r="AQ263" s="175"/>
      <c r="AR263" s="18"/>
      <c r="AS263" s="12"/>
      <c r="AT263" s="12"/>
      <c r="AU263" s="12"/>
      <c r="AV263" s="12"/>
      <c r="AW263" s="137"/>
      <c r="AX263" s="13"/>
      <c r="AY263" s="138"/>
      <c r="AZ263" s="140"/>
      <c r="BA263" s="18"/>
      <c r="BB263" s="18" t="e">
        <f>IF(#REF!&lt;&gt;0,IF(LL[[#This Row],[Date of Birth]]&lt;&gt;0,YEAR(#REF!-LL[[#This Row],[Date of Birth]])-1900,""),"")</f>
        <v>#REF!</v>
      </c>
      <c r="BC263" s="2" t="str">
        <f>IF(LL[[#This Row],[Sx Onset Date]]&gt;0,LL[[#This Row],[Sx Onset Date]],"")</f>
        <v/>
      </c>
      <c r="BD263" s="2" t="str">
        <f>IF(LL[[#This Row],[Lab-confirmed?]]="Y",LL[[#This Row],[Test Date]],"")</f>
        <v/>
      </c>
      <c r="BE263" s="2" t="str">
        <f>IF(LL[[#This Row],[Lab-confirmed?]]="Y",LL[[#This Row],[Test Date 2]],"")</f>
        <v/>
      </c>
      <c r="BF263" s="139" t="str">
        <f>IF(LL[[#This Row],[Date Reported to Public Health]]&gt;0,LL[[#This Row],[Date Reported to Public Health]],"")</f>
        <v/>
      </c>
      <c r="BG263" s="13" t="str">
        <f t="shared" si="4"/>
        <v/>
      </c>
    </row>
    <row r="264" spans="1:59" x14ac:dyDescent="0.3">
      <c r="A264" s="11">
        <v>260</v>
      </c>
      <c r="B264" s="12"/>
      <c r="C264" s="13"/>
      <c r="D264" s="12"/>
      <c r="E264" s="12"/>
      <c r="F264" s="12"/>
      <c r="G264" s="16"/>
      <c r="H264" s="12"/>
      <c r="I264" s="14"/>
      <c r="J264" s="137"/>
      <c r="K264" s="137"/>
      <c r="L264" s="18"/>
      <c r="M264" s="139"/>
      <c r="N264" s="140"/>
      <c r="O264" s="137"/>
      <c r="P264" s="137"/>
      <c r="Q264" s="15"/>
      <c r="R264" s="12"/>
      <c r="S264" s="12"/>
      <c r="T264" s="12"/>
      <c r="U264" s="14"/>
      <c r="V264" s="15"/>
      <c r="W264" s="12"/>
      <c r="X264" s="12"/>
      <c r="Y264" s="12"/>
      <c r="Z264" s="12"/>
      <c r="AA264" s="12"/>
      <c r="AB264" s="14"/>
      <c r="AC264" s="15"/>
      <c r="AD264" s="12"/>
      <c r="AE264" s="12"/>
      <c r="AF264" s="14"/>
      <c r="AG264" s="18"/>
      <c r="AH264" s="18"/>
      <c r="AI264" s="17"/>
      <c r="AJ264" s="181"/>
      <c r="AK264" s="13"/>
      <c r="AL264" s="181"/>
      <c r="AM264" s="175"/>
      <c r="AN264" s="192"/>
      <c r="AO264" s="13"/>
      <c r="AP264" s="181"/>
      <c r="AQ264" s="175"/>
      <c r="AR264" s="18"/>
      <c r="AS264" s="12"/>
      <c r="AT264" s="12"/>
      <c r="AU264" s="12"/>
      <c r="AV264" s="12"/>
      <c r="AW264" s="137"/>
      <c r="AX264" s="13"/>
      <c r="AY264" s="138"/>
      <c r="AZ264" s="140"/>
      <c r="BA264" s="18"/>
      <c r="BB264" s="18" t="e">
        <f>IF(#REF!&lt;&gt;0,IF(LL[[#This Row],[Date of Birth]]&lt;&gt;0,YEAR(#REF!-LL[[#This Row],[Date of Birth]])-1900,""),"")</f>
        <v>#REF!</v>
      </c>
      <c r="BC264" s="2" t="str">
        <f>IF(LL[[#This Row],[Sx Onset Date]]&gt;0,LL[[#This Row],[Sx Onset Date]],"")</f>
        <v/>
      </c>
      <c r="BD264" s="2" t="str">
        <f>IF(LL[[#This Row],[Lab-confirmed?]]="Y",LL[[#This Row],[Test Date]],"")</f>
        <v/>
      </c>
      <c r="BE264" s="2" t="str">
        <f>IF(LL[[#This Row],[Lab-confirmed?]]="Y",LL[[#This Row],[Test Date 2]],"")</f>
        <v/>
      </c>
      <c r="BF264" s="139" t="str">
        <f>IF(LL[[#This Row],[Date Reported to Public Health]]&gt;0,LL[[#This Row],[Date Reported to Public Health]],"")</f>
        <v/>
      </c>
      <c r="BG264" s="13" t="str">
        <f t="shared" si="4"/>
        <v/>
      </c>
    </row>
    <row r="265" spans="1:59" x14ac:dyDescent="0.3">
      <c r="A265" s="11">
        <v>261</v>
      </c>
      <c r="B265" s="12"/>
      <c r="C265" s="13"/>
      <c r="D265" s="12"/>
      <c r="E265" s="12"/>
      <c r="F265" s="12"/>
      <c r="G265" s="16"/>
      <c r="H265" s="12"/>
      <c r="I265" s="14"/>
      <c r="J265" s="137"/>
      <c r="K265" s="137"/>
      <c r="L265" s="18"/>
      <c r="M265" s="139"/>
      <c r="N265" s="140"/>
      <c r="O265" s="137"/>
      <c r="P265" s="137"/>
      <c r="Q265" s="15"/>
      <c r="R265" s="12"/>
      <c r="S265" s="12"/>
      <c r="T265" s="12"/>
      <c r="U265" s="14"/>
      <c r="V265" s="15"/>
      <c r="W265" s="12"/>
      <c r="X265" s="12"/>
      <c r="Y265" s="12"/>
      <c r="Z265" s="12"/>
      <c r="AA265" s="12"/>
      <c r="AB265" s="14"/>
      <c r="AC265" s="15"/>
      <c r="AD265" s="12"/>
      <c r="AE265" s="12"/>
      <c r="AF265" s="14"/>
      <c r="AG265" s="18"/>
      <c r="AH265" s="18"/>
      <c r="AI265" s="17"/>
      <c r="AJ265" s="181"/>
      <c r="AK265" s="13"/>
      <c r="AL265" s="181"/>
      <c r="AM265" s="175"/>
      <c r="AN265" s="192"/>
      <c r="AO265" s="13"/>
      <c r="AP265" s="181"/>
      <c r="AQ265" s="175"/>
      <c r="AR265" s="18"/>
      <c r="AS265" s="12"/>
      <c r="AT265" s="12"/>
      <c r="AU265" s="12"/>
      <c r="AV265" s="12"/>
      <c r="AW265" s="137"/>
      <c r="AX265" s="13"/>
      <c r="AY265" s="138"/>
      <c r="AZ265" s="140"/>
      <c r="BA265" s="18"/>
      <c r="BB265" s="18" t="e">
        <f>IF(#REF!&lt;&gt;0,IF(LL[[#This Row],[Date of Birth]]&lt;&gt;0,YEAR(#REF!-LL[[#This Row],[Date of Birth]])-1900,""),"")</f>
        <v>#REF!</v>
      </c>
      <c r="BC265" s="2" t="str">
        <f>IF(LL[[#This Row],[Sx Onset Date]]&gt;0,LL[[#This Row],[Sx Onset Date]],"")</f>
        <v/>
      </c>
      <c r="BD265" s="2" t="str">
        <f>IF(LL[[#This Row],[Lab-confirmed?]]="Y",LL[[#This Row],[Test Date]],"")</f>
        <v/>
      </c>
      <c r="BE265" s="2" t="str">
        <f>IF(LL[[#This Row],[Lab-confirmed?]]="Y",LL[[#This Row],[Test Date 2]],"")</f>
        <v/>
      </c>
      <c r="BF265" s="139" t="str">
        <f>IF(LL[[#This Row],[Date Reported to Public Health]]&gt;0,LL[[#This Row],[Date Reported to Public Health]],"")</f>
        <v/>
      </c>
      <c r="BG265" s="13" t="str">
        <f t="shared" si="4"/>
        <v/>
      </c>
    </row>
    <row r="266" spans="1:59" x14ac:dyDescent="0.3">
      <c r="A266" s="11">
        <v>262</v>
      </c>
      <c r="B266" s="12"/>
      <c r="C266" s="13"/>
      <c r="D266" s="12"/>
      <c r="E266" s="12"/>
      <c r="F266" s="12"/>
      <c r="G266" s="16"/>
      <c r="H266" s="12"/>
      <c r="I266" s="14"/>
      <c r="J266" s="137"/>
      <c r="K266" s="137"/>
      <c r="L266" s="18"/>
      <c r="M266" s="139"/>
      <c r="N266" s="140"/>
      <c r="O266" s="137"/>
      <c r="P266" s="137"/>
      <c r="Q266" s="15"/>
      <c r="R266" s="12"/>
      <c r="S266" s="12"/>
      <c r="T266" s="12"/>
      <c r="U266" s="14"/>
      <c r="V266" s="15"/>
      <c r="W266" s="12"/>
      <c r="X266" s="12"/>
      <c r="Y266" s="12"/>
      <c r="Z266" s="12"/>
      <c r="AA266" s="12"/>
      <c r="AB266" s="14"/>
      <c r="AC266" s="15"/>
      <c r="AD266" s="12"/>
      <c r="AE266" s="12"/>
      <c r="AF266" s="14"/>
      <c r="AG266" s="18"/>
      <c r="AH266" s="18"/>
      <c r="AI266" s="17"/>
      <c r="AJ266" s="181"/>
      <c r="AK266" s="13"/>
      <c r="AL266" s="181"/>
      <c r="AM266" s="175"/>
      <c r="AN266" s="192"/>
      <c r="AO266" s="13"/>
      <c r="AP266" s="181"/>
      <c r="AQ266" s="175"/>
      <c r="AR266" s="18"/>
      <c r="AS266" s="12"/>
      <c r="AT266" s="12"/>
      <c r="AU266" s="12"/>
      <c r="AV266" s="12"/>
      <c r="AW266" s="137"/>
      <c r="AX266" s="13"/>
      <c r="AY266" s="138"/>
      <c r="AZ266" s="140"/>
      <c r="BA266" s="18"/>
      <c r="BB266" s="18" t="e">
        <f>IF(#REF!&lt;&gt;0,IF(LL[[#This Row],[Date of Birth]]&lt;&gt;0,YEAR(#REF!-LL[[#This Row],[Date of Birth]])-1900,""),"")</f>
        <v>#REF!</v>
      </c>
      <c r="BC266" s="2" t="str">
        <f>IF(LL[[#This Row],[Sx Onset Date]]&gt;0,LL[[#This Row],[Sx Onset Date]],"")</f>
        <v/>
      </c>
      <c r="BD266" s="2" t="str">
        <f>IF(LL[[#This Row],[Lab-confirmed?]]="Y",LL[[#This Row],[Test Date]],"")</f>
        <v/>
      </c>
      <c r="BE266" s="2" t="str">
        <f>IF(LL[[#This Row],[Lab-confirmed?]]="Y",LL[[#This Row],[Test Date 2]],"")</f>
        <v/>
      </c>
      <c r="BF266" s="139" t="str">
        <f>IF(LL[[#This Row],[Date Reported to Public Health]]&gt;0,LL[[#This Row],[Date Reported to Public Health]],"")</f>
        <v/>
      </c>
      <c r="BG266" s="13" t="str">
        <f t="shared" si="4"/>
        <v/>
      </c>
    </row>
    <row r="267" spans="1:59" x14ac:dyDescent="0.3">
      <c r="A267" s="11">
        <v>263</v>
      </c>
      <c r="B267" s="12"/>
      <c r="C267" s="13"/>
      <c r="D267" s="12"/>
      <c r="E267" s="12"/>
      <c r="F267" s="12"/>
      <c r="G267" s="16"/>
      <c r="H267" s="12"/>
      <c r="I267" s="14"/>
      <c r="J267" s="137"/>
      <c r="K267" s="137"/>
      <c r="L267" s="18"/>
      <c r="M267" s="139"/>
      <c r="N267" s="140"/>
      <c r="O267" s="137"/>
      <c r="P267" s="137"/>
      <c r="Q267" s="15"/>
      <c r="R267" s="12"/>
      <c r="S267" s="12"/>
      <c r="T267" s="12"/>
      <c r="U267" s="14"/>
      <c r="V267" s="15"/>
      <c r="W267" s="12"/>
      <c r="X267" s="12"/>
      <c r="Y267" s="12"/>
      <c r="Z267" s="12"/>
      <c r="AA267" s="12"/>
      <c r="AB267" s="14"/>
      <c r="AC267" s="15"/>
      <c r="AD267" s="12"/>
      <c r="AE267" s="12"/>
      <c r="AF267" s="14"/>
      <c r="AG267" s="18"/>
      <c r="AH267" s="18"/>
      <c r="AI267" s="17"/>
      <c r="AJ267" s="181"/>
      <c r="AK267" s="13"/>
      <c r="AL267" s="181"/>
      <c r="AM267" s="175"/>
      <c r="AN267" s="192"/>
      <c r="AO267" s="13"/>
      <c r="AP267" s="181"/>
      <c r="AQ267" s="175"/>
      <c r="AR267" s="18"/>
      <c r="AS267" s="12"/>
      <c r="AT267" s="12"/>
      <c r="AU267" s="12"/>
      <c r="AV267" s="12"/>
      <c r="AW267" s="137"/>
      <c r="AX267" s="13"/>
      <c r="AY267" s="138"/>
      <c r="AZ267" s="140"/>
      <c r="BA267" s="18"/>
      <c r="BB267" s="18" t="e">
        <f>IF(#REF!&lt;&gt;0,IF(LL[[#This Row],[Date of Birth]]&lt;&gt;0,YEAR(#REF!-LL[[#This Row],[Date of Birth]])-1900,""),"")</f>
        <v>#REF!</v>
      </c>
      <c r="BC267" s="2" t="str">
        <f>IF(LL[[#This Row],[Sx Onset Date]]&gt;0,LL[[#This Row],[Sx Onset Date]],"")</f>
        <v/>
      </c>
      <c r="BD267" s="2" t="str">
        <f>IF(LL[[#This Row],[Lab-confirmed?]]="Y",LL[[#This Row],[Test Date]],"")</f>
        <v/>
      </c>
      <c r="BE267" s="2" t="str">
        <f>IF(LL[[#This Row],[Lab-confirmed?]]="Y",LL[[#This Row],[Test Date 2]],"")</f>
        <v/>
      </c>
      <c r="BF267" s="139" t="str">
        <f>IF(LL[[#This Row],[Date Reported to Public Health]]&gt;0,LL[[#This Row],[Date Reported to Public Health]],"")</f>
        <v/>
      </c>
      <c r="BG267" s="13" t="str">
        <f t="shared" si="4"/>
        <v/>
      </c>
    </row>
    <row r="268" spans="1:59" x14ac:dyDescent="0.3">
      <c r="A268" s="11">
        <v>264</v>
      </c>
      <c r="B268" s="12"/>
      <c r="C268" s="13"/>
      <c r="D268" s="12"/>
      <c r="E268" s="12"/>
      <c r="F268" s="12"/>
      <c r="G268" s="16"/>
      <c r="H268" s="12"/>
      <c r="I268" s="14"/>
      <c r="J268" s="137"/>
      <c r="K268" s="137"/>
      <c r="L268" s="18"/>
      <c r="M268" s="139"/>
      <c r="N268" s="140"/>
      <c r="O268" s="137"/>
      <c r="P268" s="137"/>
      <c r="Q268" s="15"/>
      <c r="R268" s="12"/>
      <c r="S268" s="12"/>
      <c r="T268" s="12"/>
      <c r="U268" s="14"/>
      <c r="V268" s="15"/>
      <c r="W268" s="12"/>
      <c r="X268" s="12"/>
      <c r="Y268" s="12"/>
      <c r="Z268" s="12"/>
      <c r="AA268" s="12"/>
      <c r="AB268" s="14"/>
      <c r="AC268" s="15"/>
      <c r="AD268" s="12"/>
      <c r="AE268" s="12"/>
      <c r="AF268" s="14"/>
      <c r="AG268" s="18"/>
      <c r="AH268" s="18"/>
      <c r="AI268" s="17"/>
      <c r="AJ268" s="181"/>
      <c r="AK268" s="13"/>
      <c r="AL268" s="181"/>
      <c r="AM268" s="175"/>
      <c r="AN268" s="192"/>
      <c r="AO268" s="13"/>
      <c r="AP268" s="181"/>
      <c r="AQ268" s="175"/>
      <c r="AR268" s="18"/>
      <c r="AS268" s="12"/>
      <c r="AT268" s="12"/>
      <c r="AU268" s="12"/>
      <c r="AV268" s="12"/>
      <c r="AW268" s="137"/>
      <c r="AX268" s="13"/>
      <c r="AY268" s="138"/>
      <c r="AZ268" s="140"/>
      <c r="BA268" s="18"/>
      <c r="BB268" s="18" t="e">
        <f>IF(#REF!&lt;&gt;0,IF(LL[[#This Row],[Date of Birth]]&lt;&gt;0,YEAR(#REF!-LL[[#This Row],[Date of Birth]])-1900,""),"")</f>
        <v>#REF!</v>
      </c>
      <c r="BC268" s="2" t="str">
        <f>IF(LL[[#This Row],[Sx Onset Date]]&gt;0,LL[[#This Row],[Sx Onset Date]],"")</f>
        <v/>
      </c>
      <c r="BD268" s="2" t="str">
        <f>IF(LL[[#This Row],[Lab-confirmed?]]="Y",LL[[#This Row],[Test Date]],"")</f>
        <v/>
      </c>
      <c r="BE268" s="2" t="str">
        <f>IF(LL[[#This Row],[Lab-confirmed?]]="Y",LL[[#This Row],[Test Date 2]],"")</f>
        <v/>
      </c>
      <c r="BF268" s="139" t="str">
        <f>IF(LL[[#This Row],[Date Reported to Public Health]]&gt;0,LL[[#This Row],[Date Reported to Public Health]],"")</f>
        <v/>
      </c>
      <c r="BG268" s="13" t="str">
        <f t="shared" si="4"/>
        <v/>
      </c>
    </row>
    <row r="269" spans="1:59" x14ac:dyDescent="0.3">
      <c r="A269" s="11">
        <v>265</v>
      </c>
      <c r="B269" s="12"/>
      <c r="C269" s="13"/>
      <c r="D269" s="12"/>
      <c r="E269" s="12"/>
      <c r="F269" s="12"/>
      <c r="G269" s="16"/>
      <c r="H269" s="12"/>
      <c r="I269" s="14"/>
      <c r="J269" s="137"/>
      <c r="K269" s="137"/>
      <c r="L269" s="18"/>
      <c r="M269" s="139"/>
      <c r="N269" s="140"/>
      <c r="O269" s="137"/>
      <c r="P269" s="137"/>
      <c r="Q269" s="15"/>
      <c r="R269" s="12"/>
      <c r="S269" s="12"/>
      <c r="T269" s="12"/>
      <c r="U269" s="14"/>
      <c r="V269" s="15"/>
      <c r="W269" s="12"/>
      <c r="X269" s="12"/>
      <c r="Y269" s="12"/>
      <c r="Z269" s="12"/>
      <c r="AA269" s="12"/>
      <c r="AB269" s="14"/>
      <c r="AC269" s="15"/>
      <c r="AD269" s="12"/>
      <c r="AE269" s="12"/>
      <c r="AF269" s="14"/>
      <c r="AG269" s="18"/>
      <c r="AH269" s="18"/>
      <c r="AI269" s="17"/>
      <c r="AJ269" s="181"/>
      <c r="AK269" s="13"/>
      <c r="AL269" s="181"/>
      <c r="AM269" s="175"/>
      <c r="AN269" s="192"/>
      <c r="AO269" s="13"/>
      <c r="AP269" s="181"/>
      <c r="AQ269" s="175"/>
      <c r="AR269" s="18"/>
      <c r="AS269" s="12"/>
      <c r="AT269" s="12"/>
      <c r="AU269" s="12"/>
      <c r="AV269" s="12"/>
      <c r="AW269" s="137"/>
      <c r="AX269" s="13"/>
      <c r="AY269" s="138"/>
      <c r="AZ269" s="140"/>
      <c r="BA269" s="18"/>
      <c r="BB269" s="18" t="e">
        <f>IF(#REF!&lt;&gt;0,IF(LL[[#This Row],[Date of Birth]]&lt;&gt;0,YEAR(#REF!-LL[[#This Row],[Date of Birth]])-1900,""),"")</f>
        <v>#REF!</v>
      </c>
      <c r="BC269" s="2" t="str">
        <f>IF(LL[[#This Row],[Sx Onset Date]]&gt;0,LL[[#This Row],[Sx Onset Date]],"")</f>
        <v/>
      </c>
      <c r="BD269" s="2" t="str">
        <f>IF(LL[[#This Row],[Lab-confirmed?]]="Y",LL[[#This Row],[Test Date]],"")</f>
        <v/>
      </c>
      <c r="BE269" s="2" t="str">
        <f>IF(LL[[#This Row],[Lab-confirmed?]]="Y",LL[[#This Row],[Test Date 2]],"")</f>
        <v/>
      </c>
      <c r="BF269" s="139" t="str">
        <f>IF(LL[[#This Row],[Date Reported to Public Health]]&gt;0,LL[[#This Row],[Date Reported to Public Health]],"")</f>
        <v/>
      </c>
      <c r="BG269" s="13" t="str">
        <f t="shared" si="4"/>
        <v/>
      </c>
    </row>
    <row r="270" spans="1:59" x14ac:dyDescent="0.3">
      <c r="A270" s="11">
        <v>266</v>
      </c>
      <c r="B270" s="12"/>
      <c r="C270" s="13"/>
      <c r="D270" s="12"/>
      <c r="E270" s="12"/>
      <c r="F270" s="12"/>
      <c r="G270" s="16"/>
      <c r="H270" s="12"/>
      <c r="I270" s="14"/>
      <c r="J270" s="137"/>
      <c r="K270" s="137"/>
      <c r="L270" s="18"/>
      <c r="M270" s="139"/>
      <c r="N270" s="140"/>
      <c r="O270" s="137"/>
      <c r="P270" s="137"/>
      <c r="Q270" s="15"/>
      <c r="R270" s="12"/>
      <c r="S270" s="12"/>
      <c r="T270" s="12"/>
      <c r="U270" s="14"/>
      <c r="V270" s="15"/>
      <c r="W270" s="12"/>
      <c r="X270" s="12"/>
      <c r="Y270" s="12"/>
      <c r="Z270" s="12"/>
      <c r="AA270" s="12"/>
      <c r="AB270" s="14"/>
      <c r="AC270" s="15"/>
      <c r="AD270" s="12"/>
      <c r="AE270" s="12"/>
      <c r="AF270" s="14"/>
      <c r="AG270" s="18"/>
      <c r="AH270" s="18"/>
      <c r="AI270" s="17"/>
      <c r="AJ270" s="181"/>
      <c r="AK270" s="13"/>
      <c r="AL270" s="181"/>
      <c r="AM270" s="175"/>
      <c r="AN270" s="192"/>
      <c r="AO270" s="13"/>
      <c r="AP270" s="181"/>
      <c r="AQ270" s="175"/>
      <c r="AR270" s="18"/>
      <c r="AS270" s="12"/>
      <c r="AT270" s="12"/>
      <c r="AU270" s="12"/>
      <c r="AV270" s="12"/>
      <c r="AW270" s="137"/>
      <c r="AX270" s="13"/>
      <c r="AY270" s="138"/>
      <c r="AZ270" s="140"/>
      <c r="BA270" s="18"/>
      <c r="BB270" s="18" t="e">
        <f>IF(#REF!&lt;&gt;0,IF(LL[[#This Row],[Date of Birth]]&lt;&gt;0,YEAR(#REF!-LL[[#This Row],[Date of Birth]])-1900,""),"")</f>
        <v>#REF!</v>
      </c>
      <c r="BC270" s="2" t="str">
        <f>IF(LL[[#This Row],[Sx Onset Date]]&gt;0,LL[[#This Row],[Sx Onset Date]],"")</f>
        <v/>
      </c>
      <c r="BD270" s="2" t="str">
        <f>IF(LL[[#This Row],[Lab-confirmed?]]="Y",LL[[#This Row],[Test Date]],"")</f>
        <v/>
      </c>
      <c r="BE270" s="2" t="str">
        <f>IF(LL[[#This Row],[Lab-confirmed?]]="Y",LL[[#This Row],[Test Date 2]],"")</f>
        <v/>
      </c>
      <c r="BF270" s="139" t="str">
        <f>IF(LL[[#This Row],[Date Reported to Public Health]]&gt;0,LL[[#This Row],[Date Reported to Public Health]],"")</f>
        <v/>
      </c>
      <c r="BG270" s="13" t="str">
        <f t="shared" si="4"/>
        <v/>
      </c>
    </row>
    <row r="271" spans="1:59" x14ac:dyDescent="0.3">
      <c r="A271" s="11">
        <v>267</v>
      </c>
      <c r="B271" s="12"/>
      <c r="C271" s="13"/>
      <c r="D271" s="12"/>
      <c r="E271" s="12"/>
      <c r="F271" s="12"/>
      <c r="G271" s="16"/>
      <c r="H271" s="12"/>
      <c r="I271" s="14"/>
      <c r="J271" s="137"/>
      <c r="K271" s="137"/>
      <c r="L271" s="18"/>
      <c r="M271" s="139"/>
      <c r="N271" s="140"/>
      <c r="O271" s="137"/>
      <c r="P271" s="137"/>
      <c r="Q271" s="15"/>
      <c r="R271" s="12"/>
      <c r="S271" s="12"/>
      <c r="T271" s="12"/>
      <c r="U271" s="14"/>
      <c r="V271" s="15"/>
      <c r="W271" s="12"/>
      <c r="X271" s="12"/>
      <c r="Y271" s="12"/>
      <c r="Z271" s="12"/>
      <c r="AA271" s="12"/>
      <c r="AB271" s="14"/>
      <c r="AC271" s="15"/>
      <c r="AD271" s="12"/>
      <c r="AE271" s="12"/>
      <c r="AF271" s="14"/>
      <c r="AG271" s="18"/>
      <c r="AH271" s="18"/>
      <c r="AI271" s="17"/>
      <c r="AJ271" s="181"/>
      <c r="AK271" s="13"/>
      <c r="AL271" s="181"/>
      <c r="AM271" s="175"/>
      <c r="AN271" s="192"/>
      <c r="AO271" s="13"/>
      <c r="AP271" s="181"/>
      <c r="AQ271" s="175"/>
      <c r="AR271" s="18"/>
      <c r="AS271" s="12"/>
      <c r="AT271" s="12"/>
      <c r="AU271" s="12"/>
      <c r="AV271" s="12"/>
      <c r="AW271" s="137"/>
      <c r="AX271" s="13"/>
      <c r="AY271" s="138"/>
      <c r="AZ271" s="140"/>
      <c r="BA271" s="18"/>
      <c r="BB271" s="18" t="e">
        <f>IF(#REF!&lt;&gt;0,IF(LL[[#This Row],[Date of Birth]]&lt;&gt;0,YEAR(#REF!-LL[[#This Row],[Date of Birth]])-1900,""),"")</f>
        <v>#REF!</v>
      </c>
      <c r="BC271" s="2" t="str">
        <f>IF(LL[[#This Row],[Sx Onset Date]]&gt;0,LL[[#This Row],[Sx Onset Date]],"")</f>
        <v/>
      </c>
      <c r="BD271" s="2" t="str">
        <f>IF(LL[[#This Row],[Lab-confirmed?]]="Y",LL[[#This Row],[Test Date]],"")</f>
        <v/>
      </c>
      <c r="BE271" s="2" t="str">
        <f>IF(LL[[#This Row],[Lab-confirmed?]]="Y",LL[[#This Row],[Test Date 2]],"")</f>
        <v/>
      </c>
      <c r="BF271" s="139" t="str">
        <f>IF(LL[[#This Row],[Date Reported to Public Health]]&gt;0,LL[[#This Row],[Date Reported to Public Health]],"")</f>
        <v/>
      </c>
      <c r="BG271" s="13" t="str">
        <f t="shared" si="4"/>
        <v/>
      </c>
    </row>
    <row r="272" spans="1:59" x14ac:dyDescent="0.3">
      <c r="A272" s="11">
        <v>268</v>
      </c>
      <c r="B272" s="12"/>
      <c r="C272" s="13"/>
      <c r="D272" s="12"/>
      <c r="E272" s="12"/>
      <c r="F272" s="12"/>
      <c r="G272" s="16"/>
      <c r="H272" s="12"/>
      <c r="I272" s="14"/>
      <c r="J272" s="137"/>
      <c r="K272" s="137"/>
      <c r="L272" s="18"/>
      <c r="M272" s="139"/>
      <c r="N272" s="140"/>
      <c r="O272" s="137"/>
      <c r="P272" s="137"/>
      <c r="Q272" s="15"/>
      <c r="R272" s="12"/>
      <c r="S272" s="12"/>
      <c r="T272" s="12"/>
      <c r="U272" s="14"/>
      <c r="V272" s="15"/>
      <c r="W272" s="12"/>
      <c r="X272" s="12"/>
      <c r="Y272" s="12"/>
      <c r="Z272" s="12"/>
      <c r="AA272" s="12"/>
      <c r="AB272" s="14"/>
      <c r="AC272" s="15"/>
      <c r="AD272" s="12"/>
      <c r="AE272" s="12"/>
      <c r="AF272" s="14"/>
      <c r="AG272" s="18"/>
      <c r="AH272" s="18"/>
      <c r="AI272" s="17"/>
      <c r="AJ272" s="181"/>
      <c r="AK272" s="13"/>
      <c r="AL272" s="181"/>
      <c r="AM272" s="175"/>
      <c r="AN272" s="192"/>
      <c r="AO272" s="13"/>
      <c r="AP272" s="181"/>
      <c r="AQ272" s="175"/>
      <c r="AR272" s="18"/>
      <c r="AS272" s="12"/>
      <c r="AT272" s="12"/>
      <c r="AU272" s="12"/>
      <c r="AV272" s="12"/>
      <c r="AW272" s="137"/>
      <c r="AX272" s="13"/>
      <c r="AY272" s="138"/>
      <c r="AZ272" s="140"/>
      <c r="BA272" s="18"/>
      <c r="BB272" s="18" t="e">
        <f>IF(#REF!&lt;&gt;0,IF(LL[[#This Row],[Date of Birth]]&lt;&gt;0,YEAR(#REF!-LL[[#This Row],[Date of Birth]])-1900,""),"")</f>
        <v>#REF!</v>
      </c>
      <c r="BC272" s="2" t="str">
        <f>IF(LL[[#This Row],[Sx Onset Date]]&gt;0,LL[[#This Row],[Sx Onset Date]],"")</f>
        <v/>
      </c>
      <c r="BD272" s="2" t="str">
        <f>IF(LL[[#This Row],[Lab-confirmed?]]="Y",LL[[#This Row],[Test Date]],"")</f>
        <v/>
      </c>
      <c r="BE272" s="2" t="str">
        <f>IF(LL[[#This Row],[Lab-confirmed?]]="Y",LL[[#This Row],[Test Date 2]],"")</f>
        <v/>
      </c>
      <c r="BF272" s="139" t="str">
        <f>IF(LL[[#This Row],[Date Reported to Public Health]]&gt;0,LL[[#This Row],[Date Reported to Public Health]],"")</f>
        <v/>
      </c>
      <c r="BG272" s="13" t="str">
        <f t="shared" si="4"/>
        <v/>
      </c>
    </row>
    <row r="273" spans="1:59" x14ac:dyDescent="0.3">
      <c r="A273" s="11">
        <v>269</v>
      </c>
      <c r="B273" s="12"/>
      <c r="C273" s="13"/>
      <c r="D273" s="12"/>
      <c r="E273" s="12"/>
      <c r="F273" s="12"/>
      <c r="G273" s="16"/>
      <c r="H273" s="12"/>
      <c r="I273" s="14"/>
      <c r="J273" s="137"/>
      <c r="K273" s="137"/>
      <c r="L273" s="18"/>
      <c r="M273" s="139"/>
      <c r="N273" s="140"/>
      <c r="O273" s="137"/>
      <c r="P273" s="137"/>
      <c r="Q273" s="15"/>
      <c r="R273" s="12"/>
      <c r="S273" s="12"/>
      <c r="T273" s="12"/>
      <c r="U273" s="14"/>
      <c r="V273" s="15"/>
      <c r="W273" s="12"/>
      <c r="X273" s="12"/>
      <c r="Y273" s="12"/>
      <c r="Z273" s="12"/>
      <c r="AA273" s="12"/>
      <c r="AB273" s="14"/>
      <c r="AC273" s="15"/>
      <c r="AD273" s="12"/>
      <c r="AE273" s="12"/>
      <c r="AF273" s="14"/>
      <c r="AG273" s="18"/>
      <c r="AH273" s="18"/>
      <c r="AI273" s="17"/>
      <c r="AJ273" s="181"/>
      <c r="AK273" s="13"/>
      <c r="AL273" s="181"/>
      <c r="AM273" s="175"/>
      <c r="AN273" s="192"/>
      <c r="AO273" s="13"/>
      <c r="AP273" s="181"/>
      <c r="AQ273" s="175"/>
      <c r="AR273" s="18"/>
      <c r="AS273" s="12"/>
      <c r="AT273" s="12"/>
      <c r="AU273" s="12"/>
      <c r="AV273" s="12"/>
      <c r="AW273" s="137"/>
      <c r="AX273" s="13"/>
      <c r="AY273" s="138"/>
      <c r="AZ273" s="140"/>
      <c r="BA273" s="18"/>
      <c r="BB273" s="18" t="e">
        <f>IF(#REF!&lt;&gt;0,IF(LL[[#This Row],[Date of Birth]]&lt;&gt;0,YEAR(#REF!-LL[[#This Row],[Date of Birth]])-1900,""),"")</f>
        <v>#REF!</v>
      </c>
      <c r="BC273" s="2" t="str">
        <f>IF(LL[[#This Row],[Sx Onset Date]]&gt;0,LL[[#This Row],[Sx Onset Date]],"")</f>
        <v/>
      </c>
      <c r="BD273" s="2" t="str">
        <f>IF(LL[[#This Row],[Lab-confirmed?]]="Y",LL[[#This Row],[Test Date]],"")</f>
        <v/>
      </c>
      <c r="BE273" s="2" t="str">
        <f>IF(LL[[#This Row],[Lab-confirmed?]]="Y",LL[[#This Row],[Test Date 2]],"")</f>
        <v/>
      </c>
      <c r="BF273" s="139" t="str">
        <f>IF(LL[[#This Row],[Date Reported to Public Health]]&gt;0,LL[[#This Row],[Date Reported to Public Health]],"")</f>
        <v/>
      </c>
      <c r="BG273" s="13" t="str">
        <f t="shared" si="4"/>
        <v/>
      </c>
    </row>
    <row r="274" spans="1:59" x14ac:dyDescent="0.3">
      <c r="A274" s="11">
        <v>270</v>
      </c>
      <c r="B274" s="12"/>
      <c r="C274" s="13"/>
      <c r="D274" s="12"/>
      <c r="E274" s="12"/>
      <c r="F274" s="12"/>
      <c r="G274" s="16"/>
      <c r="H274" s="12"/>
      <c r="I274" s="14"/>
      <c r="J274" s="137"/>
      <c r="K274" s="137"/>
      <c r="L274" s="18"/>
      <c r="M274" s="139"/>
      <c r="N274" s="140"/>
      <c r="O274" s="137"/>
      <c r="P274" s="137"/>
      <c r="Q274" s="15"/>
      <c r="R274" s="12"/>
      <c r="S274" s="12"/>
      <c r="T274" s="12"/>
      <c r="U274" s="14"/>
      <c r="V274" s="15"/>
      <c r="W274" s="12"/>
      <c r="X274" s="12"/>
      <c r="Y274" s="12"/>
      <c r="Z274" s="12"/>
      <c r="AA274" s="12"/>
      <c r="AB274" s="14"/>
      <c r="AC274" s="15"/>
      <c r="AD274" s="12"/>
      <c r="AE274" s="12"/>
      <c r="AF274" s="14"/>
      <c r="AG274" s="18"/>
      <c r="AH274" s="18"/>
      <c r="AI274" s="17"/>
      <c r="AJ274" s="181"/>
      <c r="AK274" s="13"/>
      <c r="AL274" s="181"/>
      <c r="AM274" s="175"/>
      <c r="AN274" s="192"/>
      <c r="AO274" s="13"/>
      <c r="AP274" s="181"/>
      <c r="AQ274" s="175"/>
      <c r="AR274" s="18"/>
      <c r="AS274" s="12"/>
      <c r="AT274" s="12"/>
      <c r="AU274" s="12"/>
      <c r="AV274" s="12"/>
      <c r="AW274" s="137"/>
      <c r="AX274" s="13"/>
      <c r="AY274" s="138"/>
      <c r="AZ274" s="140"/>
      <c r="BA274" s="18"/>
      <c r="BB274" s="18" t="e">
        <f>IF(#REF!&lt;&gt;0,IF(LL[[#This Row],[Date of Birth]]&lt;&gt;0,YEAR(#REF!-LL[[#This Row],[Date of Birth]])-1900,""),"")</f>
        <v>#REF!</v>
      </c>
      <c r="BC274" s="2" t="str">
        <f>IF(LL[[#This Row],[Sx Onset Date]]&gt;0,LL[[#This Row],[Sx Onset Date]],"")</f>
        <v/>
      </c>
      <c r="BD274" s="2" t="str">
        <f>IF(LL[[#This Row],[Lab-confirmed?]]="Y",LL[[#This Row],[Test Date]],"")</f>
        <v/>
      </c>
      <c r="BE274" s="2" t="str">
        <f>IF(LL[[#This Row],[Lab-confirmed?]]="Y",LL[[#This Row],[Test Date 2]],"")</f>
        <v/>
      </c>
      <c r="BF274" s="139" t="str">
        <f>IF(LL[[#This Row],[Date Reported to Public Health]]&gt;0,LL[[#This Row],[Date Reported to Public Health]],"")</f>
        <v/>
      </c>
      <c r="BG274" s="13" t="str">
        <f t="shared" si="4"/>
        <v/>
      </c>
    </row>
    <row r="275" spans="1:59" x14ac:dyDescent="0.3">
      <c r="A275" s="11">
        <v>271</v>
      </c>
      <c r="B275" s="12"/>
      <c r="C275" s="13"/>
      <c r="D275" s="12"/>
      <c r="E275" s="12"/>
      <c r="F275" s="12"/>
      <c r="G275" s="16"/>
      <c r="H275" s="12"/>
      <c r="I275" s="14"/>
      <c r="J275" s="137"/>
      <c r="K275" s="137"/>
      <c r="L275" s="18"/>
      <c r="M275" s="139"/>
      <c r="N275" s="140"/>
      <c r="O275" s="137"/>
      <c r="P275" s="137"/>
      <c r="Q275" s="15"/>
      <c r="R275" s="12"/>
      <c r="S275" s="12"/>
      <c r="T275" s="12"/>
      <c r="U275" s="14"/>
      <c r="V275" s="15"/>
      <c r="W275" s="12"/>
      <c r="X275" s="12"/>
      <c r="Y275" s="12"/>
      <c r="Z275" s="12"/>
      <c r="AA275" s="12"/>
      <c r="AB275" s="14"/>
      <c r="AC275" s="15"/>
      <c r="AD275" s="12"/>
      <c r="AE275" s="12"/>
      <c r="AF275" s="14"/>
      <c r="AG275" s="18"/>
      <c r="AH275" s="18"/>
      <c r="AI275" s="17"/>
      <c r="AJ275" s="181"/>
      <c r="AK275" s="13"/>
      <c r="AL275" s="181"/>
      <c r="AM275" s="175"/>
      <c r="AN275" s="192"/>
      <c r="AO275" s="13"/>
      <c r="AP275" s="181"/>
      <c r="AQ275" s="175"/>
      <c r="AR275" s="18"/>
      <c r="AS275" s="12"/>
      <c r="AT275" s="12"/>
      <c r="AU275" s="12"/>
      <c r="AV275" s="12"/>
      <c r="AW275" s="137"/>
      <c r="AX275" s="13"/>
      <c r="AY275" s="138"/>
      <c r="AZ275" s="140"/>
      <c r="BA275" s="18"/>
      <c r="BB275" s="18" t="e">
        <f>IF(#REF!&lt;&gt;0,IF(LL[[#This Row],[Date of Birth]]&lt;&gt;0,YEAR(#REF!-LL[[#This Row],[Date of Birth]])-1900,""),"")</f>
        <v>#REF!</v>
      </c>
      <c r="BC275" s="2" t="str">
        <f>IF(LL[[#This Row],[Sx Onset Date]]&gt;0,LL[[#This Row],[Sx Onset Date]],"")</f>
        <v/>
      </c>
      <c r="BD275" s="2" t="str">
        <f>IF(LL[[#This Row],[Lab-confirmed?]]="Y",LL[[#This Row],[Test Date]],"")</f>
        <v/>
      </c>
      <c r="BE275" s="2" t="str">
        <f>IF(LL[[#This Row],[Lab-confirmed?]]="Y",LL[[#This Row],[Test Date 2]],"")</f>
        <v/>
      </c>
      <c r="BF275" s="139" t="str">
        <f>IF(LL[[#This Row],[Date Reported to Public Health]]&gt;0,LL[[#This Row],[Date Reported to Public Health]],"")</f>
        <v/>
      </c>
      <c r="BG275" s="13" t="str">
        <f t="shared" si="4"/>
        <v/>
      </c>
    </row>
    <row r="276" spans="1:59" x14ac:dyDescent="0.3">
      <c r="A276" s="11">
        <v>272</v>
      </c>
      <c r="B276" s="12"/>
      <c r="C276" s="13"/>
      <c r="D276" s="12"/>
      <c r="E276" s="12"/>
      <c r="F276" s="12"/>
      <c r="G276" s="16"/>
      <c r="H276" s="12"/>
      <c r="I276" s="14"/>
      <c r="J276" s="137"/>
      <c r="K276" s="137"/>
      <c r="L276" s="18"/>
      <c r="M276" s="139"/>
      <c r="N276" s="140"/>
      <c r="O276" s="137"/>
      <c r="P276" s="137"/>
      <c r="Q276" s="15"/>
      <c r="R276" s="12"/>
      <c r="S276" s="12"/>
      <c r="T276" s="12"/>
      <c r="U276" s="14"/>
      <c r="V276" s="15"/>
      <c r="W276" s="12"/>
      <c r="X276" s="12"/>
      <c r="Y276" s="12"/>
      <c r="Z276" s="12"/>
      <c r="AA276" s="12"/>
      <c r="AB276" s="14"/>
      <c r="AC276" s="15"/>
      <c r="AD276" s="12"/>
      <c r="AE276" s="12"/>
      <c r="AF276" s="14"/>
      <c r="AG276" s="18"/>
      <c r="AH276" s="18"/>
      <c r="AI276" s="17"/>
      <c r="AJ276" s="181"/>
      <c r="AK276" s="13"/>
      <c r="AL276" s="181"/>
      <c r="AM276" s="175"/>
      <c r="AN276" s="192"/>
      <c r="AO276" s="13"/>
      <c r="AP276" s="181"/>
      <c r="AQ276" s="175"/>
      <c r="AR276" s="18"/>
      <c r="AS276" s="12"/>
      <c r="AT276" s="12"/>
      <c r="AU276" s="12"/>
      <c r="AV276" s="12"/>
      <c r="AW276" s="137"/>
      <c r="AX276" s="13"/>
      <c r="AY276" s="138"/>
      <c r="AZ276" s="140"/>
      <c r="BA276" s="18"/>
      <c r="BB276" s="18" t="e">
        <f>IF(#REF!&lt;&gt;0,IF(LL[[#This Row],[Date of Birth]]&lt;&gt;0,YEAR(#REF!-LL[[#This Row],[Date of Birth]])-1900,""),"")</f>
        <v>#REF!</v>
      </c>
      <c r="BC276" s="2" t="str">
        <f>IF(LL[[#This Row],[Sx Onset Date]]&gt;0,LL[[#This Row],[Sx Onset Date]],"")</f>
        <v/>
      </c>
      <c r="BD276" s="2" t="str">
        <f>IF(LL[[#This Row],[Lab-confirmed?]]="Y",LL[[#This Row],[Test Date]],"")</f>
        <v/>
      </c>
      <c r="BE276" s="2" t="str">
        <f>IF(LL[[#This Row],[Lab-confirmed?]]="Y",LL[[#This Row],[Test Date 2]],"")</f>
        <v/>
      </c>
      <c r="BF276" s="139" t="str">
        <f>IF(LL[[#This Row],[Date Reported to Public Health]]&gt;0,LL[[#This Row],[Date Reported to Public Health]],"")</f>
        <v/>
      </c>
      <c r="BG276" s="13" t="str">
        <f t="shared" si="4"/>
        <v/>
      </c>
    </row>
    <row r="277" spans="1:59" x14ac:dyDescent="0.3">
      <c r="A277" s="11">
        <v>273</v>
      </c>
      <c r="B277" s="12"/>
      <c r="C277" s="13"/>
      <c r="D277" s="12"/>
      <c r="E277" s="12"/>
      <c r="F277" s="12"/>
      <c r="G277" s="16"/>
      <c r="H277" s="12"/>
      <c r="I277" s="14"/>
      <c r="J277" s="137"/>
      <c r="K277" s="137"/>
      <c r="L277" s="18"/>
      <c r="M277" s="139"/>
      <c r="N277" s="140"/>
      <c r="O277" s="137"/>
      <c r="P277" s="137"/>
      <c r="Q277" s="15"/>
      <c r="R277" s="12"/>
      <c r="S277" s="12"/>
      <c r="T277" s="12"/>
      <c r="U277" s="14"/>
      <c r="V277" s="15"/>
      <c r="W277" s="12"/>
      <c r="X277" s="12"/>
      <c r="Y277" s="12"/>
      <c r="Z277" s="12"/>
      <c r="AA277" s="12"/>
      <c r="AB277" s="14"/>
      <c r="AC277" s="15"/>
      <c r="AD277" s="12"/>
      <c r="AE277" s="12"/>
      <c r="AF277" s="14"/>
      <c r="AG277" s="18"/>
      <c r="AH277" s="18"/>
      <c r="AI277" s="17"/>
      <c r="AJ277" s="181"/>
      <c r="AK277" s="13"/>
      <c r="AL277" s="181"/>
      <c r="AM277" s="175"/>
      <c r="AN277" s="192"/>
      <c r="AO277" s="13"/>
      <c r="AP277" s="181"/>
      <c r="AQ277" s="175"/>
      <c r="AR277" s="18"/>
      <c r="AS277" s="12"/>
      <c r="AT277" s="12"/>
      <c r="AU277" s="12"/>
      <c r="AV277" s="12"/>
      <c r="AW277" s="137"/>
      <c r="AX277" s="13"/>
      <c r="AY277" s="138"/>
      <c r="AZ277" s="140"/>
      <c r="BA277" s="18"/>
      <c r="BB277" s="18" t="e">
        <f>IF(#REF!&lt;&gt;0,IF(LL[[#This Row],[Date of Birth]]&lt;&gt;0,YEAR(#REF!-LL[[#This Row],[Date of Birth]])-1900,""),"")</f>
        <v>#REF!</v>
      </c>
      <c r="BC277" s="2" t="str">
        <f>IF(LL[[#This Row],[Sx Onset Date]]&gt;0,LL[[#This Row],[Sx Onset Date]],"")</f>
        <v/>
      </c>
      <c r="BD277" s="2" t="str">
        <f>IF(LL[[#This Row],[Lab-confirmed?]]="Y",LL[[#This Row],[Test Date]],"")</f>
        <v/>
      </c>
      <c r="BE277" s="2" t="str">
        <f>IF(LL[[#This Row],[Lab-confirmed?]]="Y",LL[[#This Row],[Test Date 2]],"")</f>
        <v/>
      </c>
      <c r="BF277" s="139" t="str">
        <f>IF(LL[[#This Row],[Date Reported to Public Health]]&gt;0,LL[[#This Row],[Date Reported to Public Health]],"")</f>
        <v/>
      </c>
      <c r="BG277" s="13" t="str">
        <f t="shared" si="4"/>
        <v/>
      </c>
    </row>
    <row r="278" spans="1:59" x14ac:dyDescent="0.3">
      <c r="A278" s="11">
        <v>274</v>
      </c>
      <c r="B278" s="12"/>
      <c r="C278" s="13"/>
      <c r="D278" s="12"/>
      <c r="E278" s="12"/>
      <c r="F278" s="12"/>
      <c r="G278" s="16"/>
      <c r="H278" s="12"/>
      <c r="I278" s="14"/>
      <c r="J278" s="137"/>
      <c r="K278" s="137"/>
      <c r="L278" s="18"/>
      <c r="M278" s="139"/>
      <c r="N278" s="140"/>
      <c r="O278" s="137"/>
      <c r="P278" s="137"/>
      <c r="Q278" s="15"/>
      <c r="R278" s="12"/>
      <c r="S278" s="12"/>
      <c r="T278" s="12"/>
      <c r="U278" s="14"/>
      <c r="V278" s="15"/>
      <c r="W278" s="12"/>
      <c r="X278" s="12"/>
      <c r="Y278" s="12"/>
      <c r="Z278" s="12"/>
      <c r="AA278" s="12"/>
      <c r="AB278" s="14"/>
      <c r="AC278" s="15"/>
      <c r="AD278" s="12"/>
      <c r="AE278" s="12"/>
      <c r="AF278" s="14"/>
      <c r="AG278" s="18"/>
      <c r="AH278" s="18"/>
      <c r="AI278" s="17"/>
      <c r="AJ278" s="181"/>
      <c r="AK278" s="13"/>
      <c r="AL278" s="181"/>
      <c r="AM278" s="175"/>
      <c r="AN278" s="192"/>
      <c r="AO278" s="13"/>
      <c r="AP278" s="181"/>
      <c r="AQ278" s="175"/>
      <c r="AR278" s="18"/>
      <c r="AS278" s="12"/>
      <c r="AT278" s="12"/>
      <c r="AU278" s="12"/>
      <c r="AV278" s="12"/>
      <c r="AW278" s="137"/>
      <c r="AX278" s="13"/>
      <c r="AY278" s="138"/>
      <c r="AZ278" s="140"/>
      <c r="BA278" s="18"/>
      <c r="BB278" s="18" t="e">
        <f>IF(#REF!&lt;&gt;0,IF(LL[[#This Row],[Date of Birth]]&lt;&gt;0,YEAR(#REF!-LL[[#This Row],[Date of Birth]])-1900,""),"")</f>
        <v>#REF!</v>
      </c>
      <c r="BC278" s="2" t="str">
        <f>IF(LL[[#This Row],[Sx Onset Date]]&gt;0,LL[[#This Row],[Sx Onset Date]],"")</f>
        <v/>
      </c>
      <c r="BD278" s="2" t="str">
        <f>IF(LL[[#This Row],[Lab-confirmed?]]="Y",LL[[#This Row],[Test Date]],"")</f>
        <v/>
      </c>
      <c r="BE278" s="2" t="str">
        <f>IF(LL[[#This Row],[Lab-confirmed?]]="Y",LL[[#This Row],[Test Date 2]],"")</f>
        <v/>
      </c>
      <c r="BF278" s="139" t="str">
        <f>IF(LL[[#This Row],[Date Reported to Public Health]]&gt;0,LL[[#This Row],[Date Reported to Public Health]],"")</f>
        <v/>
      </c>
      <c r="BG278" s="13" t="str">
        <f t="shared" si="4"/>
        <v/>
      </c>
    </row>
    <row r="279" spans="1:59" x14ac:dyDescent="0.3">
      <c r="A279" s="11">
        <v>275</v>
      </c>
      <c r="B279" s="12"/>
      <c r="C279" s="13"/>
      <c r="D279" s="12"/>
      <c r="E279" s="12"/>
      <c r="F279" s="12"/>
      <c r="G279" s="16"/>
      <c r="H279" s="12"/>
      <c r="I279" s="14"/>
      <c r="J279" s="137"/>
      <c r="K279" s="137"/>
      <c r="L279" s="18"/>
      <c r="M279" s="139"/>
      <c r="N279" s="140"/>
      <c r="O279" s="137"/>
      <c r="P279" s="137"/>
      <c r="Q279" s="15"/>
      <c r="R279" s="12"/>
      <c r="S279" s="12"/>
      <c r="T279" s="12"/>
      <c r="U279" s="14"/>
      <c r="V279" s="15"/>
      <c r="W279" s="12"/>
      <c r="X279" s="12"/>
      <c r="Y279" s="12"/>
      <c r="Z279" s="12"/>
      <c r="AA279" s="12"/>
      <c r="AB279" s="14"/>
      <c r="AC279" s="15"/>
      <c r="AD279" s="12"/>
      <c r="AE279" s="12"/>
      <c r="AF279" s="14"/>
      <c r="AG279" s="18"/>
      <c r="AH279" s="18"/>
      <c r="AI279" s="17"/>
      <c r="AJ279" s="181"/>
      <c r="AK279" s="13"/>
      <c r="AL279" s="181"/>
      <c r="AM279" s="175"/>
      <c r="AN279" s="192"/>
      <c r="AO279" s="13"/>
      <c r="AP279" s="181"/>
      <c r="AQ279" s="175"/>
      <c r="AR279" s="18"/>
      <c r="AS279" s="12"/>
      <c r="AT279" s="12"/>
      <c r="AU279" s="12"/>
      <c r="AV279" s="12"/>
      <c r="AW279" s="137"/>
      <c r="AX279" s="13"/>
      <c r="AY279" s="138"/>
      <c r="AZ279" s="140"/>
      <c r="BA279" s="18"/>
      <c r="BB279" s="18" t="e">
        <f>IF(#REF!&lt;&gt;0,IF(LL[[#This Row],[Date of Birth]]&lt;&gt;0,YEAR(#REF!-LL[[#This Row],[Date of Birth]])-1900,""),"")</f>
        <v>#REF!</v>
      </c>
      <c r="BC279" s="2" t="str">
        <f>IF(LL[[#This Row],[Sx Onset Date]]&gt;0,LL[[#This Row],[Sx Onset Date]],"")</f>
        <v/>
      </c>
      <c r="BD279" s="2" t="str">
        <f>IF(LL[[#This Row],[Lab-confirmed?]]="Y",LL[[#This Row],[Test Date]],"")</f>
        <v/>
      </c>
      <c r="BE279" s="2" t="str">
        <f>IF(LL[[#This Row],[Lab-confirmed?]]="Y",LL[[#This Row],[Test Date 2]],"")</f>
        <v/>
      </c>
      <c r="BF279" s="139" t="str">
        <f>IF(LL[[#This Row],[Date Reported to Public Health]]&gt;0,LL[[#This Row],[Date Reported to Public Health]],"")</f>
        <v/>
      </c>
      <c r="BG279" s="13" t="str">
        <f t="shared" si="4"/>
        <v/>
      </c>
    </row>
    <row r="280" spans="1:59" x14ac:dyDescent="0.3">
      <c r="A280" s="11">
        <v>276</v>
      </c>
      <c r="B280" s="12"/>
      <c r="C280" s="13"/>
      <c r="D280" s="12"/>
      <c r="E280" s="12"/>
      <c r="F280" s="12"/>
      <c r="G280" s="16"/>
      <c r="H280" s="12"/>
      <c r="I280" s="14"/>
      <c r="J280" s="137"/>
      <c r="K280" s="137"/>
      <c r="L280" s="18"/>
      <c r="M280" s="139"/>
      <c r="N280" s="140"/>
      <c r="O280" s="137"/>
      <c r="P280" s="137"/>
      <c r="Q280" s="15"/>
      <c r="R280" s="12"/>
      <c r="S280" s="12"/>
      <c r="T280" s="12"/>
      <c r="U280" s="14"/>
      <c r="V280" s="15"/>
      <c r="W280" s="12"/>
      <c r="X280" s="12"/>
      <c r="Y280" s="12"/>
      <c r="Z280" s="12"/>
      <c r="AA280" s="12"/>
      <c r="AB280" s="14"/>
      <c r="AC280" s="15"/>
      <c r="AD280" s="12"/>
      <c r="AE280" s="12"/>
      <c r="AF280" s="14"/>
      <c r="AG280" s="18"/>
      <c r="AH280" s="18"/>
      <c r="AI280" s="17"/>
      <c r="AJ280" s="181"/>
      <c r="AK280" s="13"/>
      <c r="AL280" s="181"/>
      <c r="AM280" s="175"/>
      <c r="AN280" s="192"/>
      <c r="AO280" s="13"/>
      <c r="AP280" s="181"/>
      <c r="AQ280" s="175"/>
      <c r="AR280" s="18"/>
      <c r="AS280" s="12"/>
      <c r="AT280" s="12"/>
      <c r="AU280" s="12"/>
      <c r="AV280" s="12"/>
      <c r="AW280" s="137"/>
      <c r="AX280" s="13"/>
      <c r="AY280" s="138"/>
      <c r="AZ280" s="140"/>
      <c r="BA280" s="18"/>
      <c r="BB280" s="18" t="e">
        <f>IF(#REF!&lt;&gt;0,IF(LL[[#This Row],[Date of Birth]]&lt;&gt;0,YEAR(#REF!-LL[[#This Row],[Date of Birth]])-1900,""),"")</f>
        <v>#REF!</v>
      </c>
      <c r="BC280" s="2" t="str">
        <f>IF(LL[[#This Row],[Sx Onset Date]]&gt;0,LL[[#This Row],[Sx Onset Date]],"")</f>
        <v/>
      </c>
      <c r="BD280" s="2" t="str">
        <f>IF(LL[[#This Row],[Lab-confirmed?]]="Y",LL[[#This Row],[Test Date]],"")</f>
        <v/>
      </c>
      <c r="BE280" s="2" t="str">
        <f>IF(LL[[#This Row],[Lab-confirmed?]]="Y",LL[[#This Row],[Test Date 2]],"")</f>
        <v/>
      </c>
      <c r="BF280" s="139" t="str">
        <f>IF(LL[[#This Row],[Date Reported to Public Health]]&gt;0,LL[[#This Row],[Date Reported to Public Health]],"")</f>
        <v/>
      </c>
      <c r="BG280" s="13" t="str">
        <f t="shared" si="4"/>
        <v/>
      </c>
    </row>
    <row r="281" spans="1:59" x14ac:dyDescent="0.3">
      <c r="A281" s="11">
        <v>277</v>
      </c>
      <c r="B281" s="12"/>
      <c r="C281" s="13"/>
      <c r="D281" s="12"/>
      <c r="E281" s="12"/>
      <c r="F281" s="12"/>
      <c r="G281" s="16"/>
      <c r="H281" s="12"/>
      <c r="I281" s="14"/>
      <c r="J281" s="137"/>
      <c r="K281" s="137"/>
      <c r="L281" s="18"/>
      <c r="M281" s="139"/>
      <c r="N281" s="140"/>
      <c r="O281" s="137"/>
      <c r="P281" s="137"/>
      <c r="Q281" s="15"/>
      <c r="R281" s="12"/>
      <c r="S281" s="12"/>
      <c r="T281" s="12"/>
      <c r="U281" s="14"/>
      <c r="V281" s="15"/>
      <c r="W281" s="12"/>
      <c r="X281" s="12"/>
      <c r="Y281" s="12"/>
      <c r="Z281" s="12"/>
      <c r="AA281" s="12"/>
      <c r="AB281" s="14"/>
      <c r="AC281" s="15"/>
      <c r="AD281" s="12"/>
      <c r="AE281" s="12"/>
      <c r="AF281" s="14"/>
      <c r="AG281" s="18"/>
      <c r="AH281" s="18"/>
      <c r="AI281" s="17"/>
      <c r="AJ281" s="181"/>
      <c r="AK281" s="13"/>
      <c r="AL281" s="181"/>
      <c r="AM281" s="175"/>
      <c r="AN281" s="192"/>
      <c r="AO281" s="13"/>
      <c r="AP281" s="181"/>
      <c r="AQ281" s="175"/>
      <c r="AR281" s="18"/>
      <c r="AS281" s="12"/>
      <c r="AT281" s="12"/>
      <c r="AU281" s="12"/>
      <c r="AV281" s="12"/>
      <c r="AW281" s="137"/>
      <c r="AX281" s="13"/>
      <c r="AY281" s="138"/>
      <c r="AZ281" s="140"/>
      <c r="BA281" s="18"/>
      <c r="BB281" s="18" t="e">
        <f>IF(#REF!&lt;&gt;0,IF(LL[[#This Row],[Date of Birth]]&lt;&gt;0,YEAR(#REF!-LL[[#This Row],[Date of Birth]])-1900,""),"")</f>
        <v>#REF!</v>
      </c>
      <c r="BC281" s="2" t="str">
        <f>IF(LL[[#This Row],[Sx Onset Date]]&gt;0,LL[[#This Row],[Sx Onset Date]],"")</f>
        <v/>
      </c>
      <c r="BD281" s="2" t="str">
        <f>IF(LL[[#This Row],[Lab-confirmed?]]="Y",LL[[#This Row],[Test Date]],"")</f>
        <v/>
      </c>
      <c r="BE281" s="2" t="str">
        <f>IF(LL[[#This Row],[Lab-confirmed?]]="Y",LL[[#This Row],[Test Date 2]],"")</f>
        <v/>
      </c>
      <c r="BF281" s="139" t="str">
        <f>IF(LL[[#This Row],[Date Reported to Public Health]]&gt;0,LL[[#This Row],[Date Reported to Public Health]],"")</f>
        <v/>
      </c>
      <c r="BG281" s="13" t="str">
        <f t="shared" si="4"/>
        <v/>
      </c>
    </row>
    <row r="282" spans="1:59" x14ac:dyDescent="0.3">
      <c r="A282" s="11">
        <v>278</v>
      </c>
      <c r="B282" s="12"/>
      <c r="C282" s="13"/>
      <c r="D282" s="12"/>
      <c r="E282" s="12"/>
      <c r="F282" s="12"/>
      <c r="G282" s="16"/>
      <c r="H282" s="12"/>
      <c r="I282" s="14"/>
      <c r="J282" s="137"/>
      <c r="K282" s="137"/>
      <c r="L282" s="18"/>
      <c r="M282" s="139"/>
      <c r="N282" s="140"/>
      <c r="O282" s="137"/>
      <c r="P282" s="137"/>
      <c r="Q282" s="15"/>
      <c r="R282" s="12"/>
      <c r="S282" s="12"/>
      <c r="T282" s="12"/>
      <c r="U282" s="14"/>
      <c r="V282" s="15"/>
      <c r="W282" s="12"/>
      <c r="X282" s="12"/>
      <c r="Y282" s="12"/>
      <c r="Z282" s="12"/>
      <c r="AA282" s="12"/>
      <c r="AB282" s="14"/>
      <c r="AC282" s="15"/>
      <c r="AD282" s="12"/>
      <c r="AE282" s="12"/>
      <c r="AF282" s="14"/>
      <c r="AG282" s="18"/>
      <c r="AH282" s="18"/>
      <c r="AI282" s="17"/>
      <c r="AJ282" s="181"/>
      <c r="AK282" s="13"/>
      <c r="AL282" s="181"/>
      <c r="AM282" s="175"/>
      <c r="AN282" s="192"/>
      <c r="AO282" s="13"/>
      <c r="AP282" s="181"/>
      <c r="AQ282" s="175"/>
      <c r="AR282" s="18"/>
      <c r="AS282" s="12"/>
      <c r="AT282" s="12"/>
      <c r="AU282" s="12"/>
      <c r="AV282" s="12"/>
      <c r="AW282" s="137"/>
      <c r="AX282" s="13"/>
      <c r="AY282" s="138"/>
      <c r="AZ282" s="140"/>
      <c r="BA282" s="18"/>
      <c r="BB282" s="18" t="e">
        <f>IF(#REF!&lt;&gt;0,IF(LL[[#This Row],[Date of Birth]]&lt;&gt;0,YEAR(#REF!-LL[[#This Row],[Date of Birth]])-1900,""),"")</f>
        <v>#REF!</v>
      </c>
      <c r="BC282" s="2" t="str">
        <f>IF(LL[[#This Row],[Sx Onset Date]]&gt;0,LL[[#This Row],[Sx Onset Date]],"")</f>
        <v/>
      </c>
      <c r="BD282" s="2" t="str">
        <f>IF(LL[[#This Row],[Lab-confirmed?]]="Y",LL[[#This Row],[Test Date]],"")</f>
        <v/>
      </c>
      <c r="BE282" s="2" t="str">
        <f>IF(LL[[#This Row],[Lab-confirmed?]]="Y",LL[[#This Row],[Test Date 2]],"")</f>
        <v/>
      </c>
      <c r="BF282" s="139" t="str">
        <f>IF(LL[[#This Row],[Date Reported to Public Health]]&gt;0,LL[[#This Row],[Date Reported to Public Health]],"")</f>
        <v/>
      </c>
      <c r="BG282" s="13" t="str">
        <f t="shared" si="4"/>
        <v/>
      </c>
    </row>
    <row r="283" spans="1:59" x14ac:dyDescent="0.3">
      <c r="A283" s="11">
        <v>279</v>
      </c>
      <c r="B283" s="12"/>
      <c r="C283" s="13"/>
      <c r="D283" s="12"/>
      <c r="E283" s="12"/>
      <c r="F283" s="12"/>
      <c r="G283" s="16"/>
      <c r="H283" s="12"/>
      <c r="I283" s="14"/>
      <c r="J283" s="137"/>
      <c r="K283" s="137"/>
      <c r="L283" s="18"/>
      <c r="M283" s="139"/>
      <c r="N283" s="140"/>
      <c r="O283" s="137"/>
      <c r="P283" s="137"/>
      <c r="Q283" s="15"/>
      <c r="R283" s="12"/>
      <c r="S283" s="12"/>
      <c r="T283" s="12"/>
      <c r="U283" s="14"/>
      <c r="V283" s="15"/>
      <c r="W283" s="12"/>
      <c r="X283" s="12"/>
      <c r="Y283" s="12"/>
      <c r="Z283" s="12"/>
      <c r="AA283" s="12"/>
      <c r="AB283" s="14"/>
      <c r="AC283" s="15"/>
      <c r="AD283" s="12"/>
      <c r="AE283" s="12"/>
      <c r="AF283" s="14"/>
      <c r="AG283" s="18"/>
      <c r="AH283" s="18"/>
      <c r="AI283" s="17"/>
      <c r="AJ283" s="181"/>
      <c r="AK283" s="13"/>
      <c r="AL283" s="181"/>
      <c r="AM283" s="175"/>
      <c r="AN283" s="192"/>
      <c r="AO283" s="13"/>
      <c r="AP283" s="181"/>
      <c r="AQ283" s="175"/>
      <c r="AR283" s="18"/>
      <c r="AS283" s="12"/>
      <c r="AT283" s="12"/>
      <c r="AU283" s="12"/>
      <c r="AV283" s="12"/>
      <c r="AW283" s="137"/>
      <c r="AX283" s="13"/>
      <c r="AY283" s="138"/>
      <c r="AZ283" s="140"/>
      <c r="BA283" s="18"/>
      <c r="BB283" s="18" t="e">
        <f>IF(#REF!&lt;&gt;0,IF(LL[[#This Row],[Date of Birth]]&lt;&gt;0,YEAR(#REF!-LL[[#This Row],[Date of Birth]])-1900,""),"")</f>
        <v>#REF!</v>
      </c>
      <c r="BC283" s="2" t="str">
        <f>IF(LL[[#This Row],[Sx Onset Date]]&gt;0,LL[[#This Row],[Sx Onset Date]],"")</f>
        <v/>
      </c>
      <c r="BD283" s="2" t="str">
        <f>IF(LL[[#This Row],[Lab-confirmed?]]="Y",LL[[#This Row],[Test Date]],"")</f>
        <v/>
      </c>
      <c r="BE283" s="2" t="str">
        <f>IF(LL[[#This Row],[Lab-confirmed?]]="Y",LL[[#This Row],[Test Date 2]],"")</f>
        <v/>
      </c>
      <c r="BF283" s="139" t="str">
        <f>IF(LL[[#This Row],[Date Reported to Public Health]]&gt;0,LL[[#This Row],[Date Reported to Public Health]],"")</f>
        <v/>
      </c>
      <c r="BG283" s="13" t="str">
        <f t="shared" si="4"/>
        <v/>
      </c>
    </row>
    <row r="284" spans="1:59" x14ac:dyDescent="0.3">
      <c r="A284" s="11">
        <v>280</v>
      </c>
      <c r="B284" s="12"/>
      <c r="C284" s="13"/>
      <c r="D284" s="12"/>
      <c r="E284" s="12"/>
      <c r="F284" s="12"/>
      <c r="G284" s="16"/>
      <c r="H284" s="12"/>
      <c r="I284" s="14"/>
      <c r="J284" s="137"/>
      <c r="K284" s="137"/>
      <c r="L284" s="18"/>
      <c r="M284" s="139"/>
      <c r="N284" s="140"/>
      <c r="O284" s="137"/>
      <c r="P284" s="137"/>
      <c r="Q284" s="15"/>
      <c r="R284" s="12"/>
      <c r="S284" s="12"/>
      <c r="T284" s="12"/>
      <c r="U284" s="14"/>
      <c r="V284" s="15"/>
      <c r="W284" s="12"/>
      <c r="X284" s="12"/>
      <c r="Y284" s="12"/>
      <c r="Z284" s="12"/>
      <c r="AA284" s="12"/>
      <c r="AB284" s="14"/>
      <c r="AC284" s="15"/>
      <c r="AD284" s="12"/>
      <c r="AE284" s="12"/>
      <c r="AF284" s="14"/>
      <c r="AG284" s="18"/>
      <c r="AH284" s="18"/>
      <c r="AI284" s="17"/>
      <c r="AJ284" s="181"/>
      <c r="AK284" s="13"/>
      <c r="AL284" s="181"/>
      <c r="AM284" s="175"/>
      <c r="AN284" s="192"/>
      <c r="AO284" s="13"/>
      <c r="AP284" s="181"/>
      <c r="AQ284" s="175"/>
      <c r="AR284" s="18"/>
      <c r="AS284" s="12"/>
      <c r="AT284" s="12"/>
      <c r="AU284" s="12"/>
      <c r="AV284" s="12"/>
      <c r="AW284" s="137"/>
      <c r="AX284" s="13"/>
      <c r="AY284" s="138"/>
      <c r="AZ284" s="140"/>
      <c r="BA284" s="18"/>
      <c r="BB284" s="18" t="e">
        <f>IF(#REF!&lt;&gt;0,IF(LL[[#This Row],[Date of Birth]]&lt;&gt;0,YEAR(#REF!-LL[[#This Row],[Date of Birth]])-1900,""),"")</f>
        <v>#REF!</v>
      </c>
      <c r="BC284" s="2" t="str">
        <f>IF(LL[[#This Row],[Sx Onset Date]]&gt;0,LL[[#This Row],[Sx Onset Date]],"")</f>
        <v/>
      </c>
      <c r="BD284" s="2" t="str">
        <f>IF(LL[[#This Row],[Lab-confirmed?]]="Y",LL[[#This Row],[Test Date]],"")</f>
        <v/>
      </c>
      <c r="BE284" s="2" t="str">
        <f>IF(LL[[#This Row],[Lab-confirmed?]]="Y",LL[[#This Row],[Test Date 2]],"")</f>
        <v/>
      </c>
      <c r="BF284" s="139" t="str">
        <f>IF(LL[[#This Row],[Date Reported to Public Health]]&gt;0,LL[[#This Row],[Date Reported to Public Health]],"")</f>
        <v/>
      </c>
      <c r="BG284" s="13" t="str">
        <f t="shared" si="4"/>
        <v/>
      </c>
    </row>
    <row r="285" spans="1:59" x14ac:dyDescent="0.3">
      <c r="A285" s="11">
        <v>281</v>
      </c>
      <c r="B285" s="12"/>
      <c r="C285" s="13"/>
      <c r="D285" s="12"/>
      <c r="E285" s="12"/>
      <c r="F285" s="12"/>
      <c r="G285" s="16"/>
      <c r="H285" s="12"/>
      <c r="I285" s="14"/>
      <c r="J285" s="137"/>
      <c r="K285" s="137"/>
      <c r="L285" s="18"/>
      <c r="M285" s="139"/>
      <c r="N285" s="140"/>
      <c r="O285" s="137"/>
      <c r="P285" s="137"/>
      <c r="Q285" s="15"/>
      <c r="R285" s="12"/>
      <c r="S285" s="12"/>
      <c r="T285" s="12"/>
      <c r="U285" s="14"/>
      <c r="V285" s="15"/>
      <c r="W285" s="12"/>
      <c r="X285" s="12"/>
      <c r="Y285" s="12"/>
      <c r="Z285" s="12"/>
      <c r="AA285" s="12"/>
      <c r="AB285" s="14"/>
      <c r="AC285" s="15"/>
      <c r="AD285" s="12"/>
      <c r="AE285" s="12"/>
      <c r="AF285" s="14"/>
      <c r="AG285" s="18"/>
      <c r="AH285" s="18"/>
      <c r="AI285" s="17"/>
      <c r="AJ285" s="181"/>
      <c r="AK285" s="13"/>
      <c r="AL285" s="181"/>
      <c r="AM285" s="175"/>
      <c r="AN285" s="192"/>
      <c r="AO285" s="13"/>
      <c r="AP285" s="181"/>
      <c r="AQ285" s="175"/>
      <c r="AR285" s="18"/>
      <c r="AS285" s="12"/>
      <c r="AT285" s="12"/>
      <c r="AU285" s="12"/>
      <c r="AV285" s="12"/>
      <c r="AW285" s="137"/>
      <c r="AX285" s="13"/>
      <c r="AY285" s="138"/>
      <c r="AZ285" s="140"/>
      <c r="BA285" s="18"/>
      <c r="BB285" s="18" t="e">
        <f>IF(#REF!&lt;&gt;0,IF(LL[[#This Row],[Date of Birth]]&lt;&gt;0,YEAR(#REF!-LL[[#This Row],[Date of Birth]])-1900,""),"")</f>
        <v>#REF!</v>
      </c>
      <c r="BC285" s="2" t="str">
        <f>IF(LL[[#This Row],[Sx Onset Date]]&gt;0,LL[[#This Row],[Sx Onset Date]],"")</f>
        <v/>
      </c>
      <c r="BD285" s="2" t="str">
        <f>IF(LL[[#This Row],[Lab-confirmed?]]="Y",LL[[#This Row],[Test Date]],"")</f>
        <v/>
      </c>
      <c r="BE285" s="2" t="str">
        <f>IF(LL[[#This Row],[Lab-confirmed?]]="Y",LL[[#This Row],[Test Date 2]],"")</f>
        <v/>
      </c>
      <c r="BF285" s="139" t="str">
        <f>IF(LL[[#This Row],[Date Reported to Public Health]]&gt;0,LL[[#This Row],[Date Reported to Public Health]],"")</f>
        <v/>
      </c>
      <c r="BG285" s="13" t="str">
        <f t="shared" si="4"/>
        <v/>
      </c>
    </row>
    <row r="286" spans="1:59" x14ac:dyDescent="0.3">
      <c r="A286" s="11">
        <v>282</v>
      </c>
      <c r="B286" s="12"/>
      <c r="C286" s="13"/>
      <c r="D286" s="12"/>
      <c r="E286" s="12"/>
      <c r="F286" s="12"/>
      <c r="G286" s="16"/>
      <c r="H286" s="12"/>
      <c r="I286" s="14"/>
      <c r="J286" s="137"/>
      <c r="K286" s="137"/>
      <c r="L286" s="18"/>
      <c r="M286" s="139"/>
      <c r="N286" s="140"/>
      <c r="O286" s="137"/>
      <c r="P286" s="137"/>
      <c r="Q286" s="15"/>
      <c r="R286" s="12"/>
      <c r="S286" s="12"/>
      <c r="T286" s="12"/>
      <c r="U286" s="14"/>
      <c r="V286" s="15"/>
      <c r="W286" s="12"/>
      <c r="X286" s="12"/>
      <c r="Y286" s="12"/>
      <c r="Z286" s="12"/>
      <c r="AA286" s="12"/>
      <c r="AB286" s="14"/>
      <c r="AC286" s="15"/>
      <c r="AD286" s="12"/>
      <c r="AE286" s="12"/>
      <c r="AF286" s="14"/>
      <c r="AG286" s="18"/>
      <c r="AH286" s="18"/>
      <c r="AI286" s="17"/>
      <c r="AJ286" s="181"/>
      <c r="AK286" s="13"/>
      <c r="AL286" s="181"/>
      <c r="AM286" s="175"/>
      <c r="AN286" s="192"/>
      <c r="AO286" s="13"/>
      <c r="AP286" s="181"/>
      <c r="AQ286" s="175"/>
      <c r="AR286" s="18"/>
      <c r="AS286" s="12"/>
      <c r="AT286" s="12"/>
      <c r="AU286" s="12"/>
      <c r="AV286" s="12"/>
      <c r="AW286" s="137"/>
      <c r="AX286" s="13"/>
      <c r="AY286" s="138"/>
      <c r="AZ286" s="140"/>
      <c r="BA286" s="18"/>
      <c r="BB286" s="18" t="e">
        <f>IF(#REF!&lt;&gt;0,IF(LL[[#This Row],[Date of Birth]]&lt;&gt;0,YEAR(#REF!-LL[[#This Row],[Date of Birth]])-1900,""),"")</f>
        <v>#REF!</v>
      </c>
      <c r="BC286" s="2" t="str">
        <f>IF(LL[[#This Row],[Sx Onset Date]]&gt;0,LL[[#This Row],[Sx Onset Date]],"")</f>
        <v/>
      </c>
      <c r="BD286" s="2" t="str">
        <f>IF(LL[[#This Row],[Lab-confirmed?]]="Y",LL[[#This Row],[Test Date]],"")</f>
        <v/>
      </c>
      <c r="BE286" s="2" t="str">
        <f>IF(LL[[#This Row],[Lab-confirmed?]]="Y",LL[[#This Row],[Test Date 2]],"")</f>
        <v/>
      </c>
      <c r="BF286" s="139" t="str">
        <f>IF(LL[[#This Row],[Date Reported to Public Health]]&gt;0,LL[[#This Row],[Date Reported to Public Health]],"")</f>
        <v/>
      </c>
      <c r="BG286" s="13" t="str">
        <f t="shared" si="4"/>
        <v/>
      </c>
    </row>
    <row r="287" spans="1:59" x14ac:dyDescent="0.3">
      <c r="A287" s="11">
        <v>283</v>
      </c>
      <c r="B287" s="12"/>
      <c r="C287" s="13"/>
      <c r="D287" s="12"/>
      <c r="E287" s="12"/>
      <c r="F287" s="12"/>
      <c r="G287" s="16"/>
      <c r="H287" s="12"/>
      <c r="I287" s="14"/>
      <c r="J287" s="137"/>
      <c r="K287" s="137"/>
      <c r="L287" s="18"/>
      <c r="M287" s="139"/>
      <c r="N287" s="140"/>
      <c r="O287" s="137"/>
      <c r="P287" s="137"/>
      <c r="Q287" s="15"/>
      <c r="R287" s="12"/>
      <c r="S287" s="12"/>
      <c r="T287" s="12"/>
      <c r="U287" s="14"/>
      <c r="V287" s="15"/>
      <c r="W287" s="12"/>
      <c r="X287" s="12"/>
      <c r="Y287" s="12"/>
      <c r="Z287" s="12"/>
      <c r="AA287" s="12"/>
      <c r="AB287" s="14"/>
      <c r="AC287" s="15"/>
      <c r="AD287" s="12"/>
      <c r="AE287" s="12"/>
      <c r="AF287" s="14"/>
      <c r="AG287" s="18"/>
      <c r="AH287" s="18"/>
      <c r="AI287" s="17"/>
      <c r="AJ287" s="181"/>
      <c r="AK287" s="13"/>
      <c r="AL287" s="181"/>
      <c r="AM287" s="175"/>
      <c r="AN287" s="192"/>
      <c r="AO287" s="13"/>
      <c r="AP287" s="181"/>
      <c r="AQ287" s="175"/>
      <c r="AR287" s="18"/>
      <c r="AS287" s="12"/>
      <c r="AT287" s="12"/>
      <c r="AU287" s="12"/>
      <c r="AV287" s="12"/>
      <c r="AW287" s="137"/>
      <c r="AX287" s="13"/>
      <c r="AY287" s="138"/>
      <c r="AZ287" s="140"/>
      <c r="BA287" s="18"/>
      <c r="BB287" s="18" t="e">
        <f>IF(#REF!&lt;&gt;0,IF(LL[[#This Row],[Date of Birth]]&lt;&gt;0,YEAR(#REF!-LL[[#This Row],[Date of Birth]])-1900,""),"")</f>
        <v>#REF!</v>
      </c>
      <c r="BC287" s="2" t="str">
        <f>IF(LL[[#This Row],[Sx Onset Date]]&gt;0,LL[[#This Row],[Sx Onset Date]],"")</f>
        <v/>
      </c>
      <c r="BD287" s="2" t="str">
        <f>IF(LL[[#This Row],[Lab-confirmed?]]="Y",LL[[#This Row],[Test Date]],"")</f>
        <v/>
      </c>
      <c r="BE287" s="2" t="str">
        <f>IF(LL[[#This Row],[Lab-confirmed?]]="Y",LL[[#This Row],[Test Date 2]],"")</f>
        <v/>
      </c>
      <c r="BF287" s="139" t="str">
        <f>IF(LL[[#This Row],[Date Reported to Public Health]]&gt;0,LL[[#This Row],[Date Reported to Public Health]],"")</f>
        <v/>
      </c>
      <c r="BG287" s="13" t="str">
        <f t="shared" si="4"/>
        <v/>
      </c>
    </row>
    <row r="288" spans="1:59" x14ac:dyDescent="0.3">
      <c r="A288" s="11">
        <v>284</v>
      </c>
      <c r="B288" s="12"/>
      <c r="C288" s="13"/>
      <c r="D288" s="12"/>
      <c r="E288" s="12"/>
      <c r="F288" s="12"/>
      <c r="G288" s="16"/>
      <c r="H288" s="12"/>
      <c r="I288" s="14"/>
      <c r="J288" s="137"/>
      <c r="K288" s="137"/>
      <c r="L288" s="18"/>
      <c r="M288" s="139"/>
      <c r="N288" s="140"/>
      <c r="O288" s="137"/>
      <c r="P288" s="137"/>
      <c r="Q288" s="15"/>
      <c r="R288" s="12"/>
      <c r="S288" s="12"/>
      <c r="T288" s="12"/>
      <c r="U288" s="14"/>
      <c r="V288" s="15"/>
      <c r="W288" s="12"/>
      <c r="X288" s="12"/>
      <c r="Y288" s="12"/>
      <c r="Z288" s="12"/>
      <c r="AA288" s="12"/>
      <c r="AB288" s="14"/>
      <c r="AC288" s="15"/>
      <c r="AD288" s="12"/>
      <c r="AE288" s="12"/>
      <c r="AF288" s="14"/>
      <c r="AG288" s="18"/>
      <c r="AH288" s="18"/>
      <c r="AI288" s="17"/>
      <c r="AJ288" s="181"/>
      <c r="AK288" s="13"/>
      <c r="AL288" s="181"/>
      <c r="AM288" s="175"/>
      <c r="AN288" s="192"/>
      <c r="AO288" s="13"/>
      <c r="AP288" s="181"/>
      <c r="AQ288" s="175"/>
      <c r="AR288" s="18"/>
      <c r="AS288" s="12"/>
      <c r="AT288" s="12"/>
      <c r="AU288" s="12"/>
      <c r="AV288" s="12"/>
      <c r="AW288" s="137"/>
      <c r="AX288" s="13"/>
      <c r="AY288" s="138"/>
      <c r="AZ288" s="140"/>
      <c r="BA288" s="18"/>
      <c r="BB288" s="18" t="e">
        <f>IF(#REF!&lt;&gt;0,IF(LL[[#This Row],[Date of Birth]]&lt;&gt;0,YEAR(#REF!-LL[[#This Row],[Date of Birth]])-1900,""),"")</f>
        <v>#REF!</v>
      </c>
      <c r="BC288" s="2" t="str">
        <f>IF(LL[[#This Row],[Sx Onset Date]]&gt;0,LL[[#This Row],[Sx Onset Date]],"")</f>
        <v/>
      </c>
      <c r="BD288" s="2" t="str">
        <f>IF(LL[[#This Row],[Lab-confirmed?]]="Y",LL[[#This Row],[Test Date]],"")</f>
        <v/>
      </c>
      <c r="BE288" s="2" t="str">
        <f>IF(LL[[#This Row],[Lab-confirmed?]]="Y",LL[[#This Row],[Test Date 2]],"")</f>
        <v/>
      </c>
      <c r="BF288" s="139" t="str">
        <f>IF(LL[[#This Row],[Date Reported to Public Health]]&gt;0,LL[[#This Row],[Date Reported to Public Health]],"")</f>
        <v/>
      </c>
      <c r="BG288" s="13" t="str">
        <f t="shared" si="4"/>
        <v/>
      </c>
    </row>
    <row r="289" spans="1:59" x14ac:dyDescent="0.3">
      <c r="A289" s="11">
        <v>285</v>
      </c>
      <c r="B289" s="12"/>
      <c r="C289" s="13"/>
      <c r="D289" s="12"/>
      <c r="E289" s="12"/>
      <c r="F289" s="12"/>
      <c r="G289" s="16"/>
      <c r="H289" s="12"/>
      <c r="I289" s="14"/>
      <c r="J289" s="137"/>
      <c r="K289" s="137"/>
      <c r="L289" s="18"/>
      <c r="M289" s="139"/>
      <c r="N289" s="140"/>
      <c r="O289" s="137"/>
      <c r="P289" s="137"/>
      <c r="Q289" s="15"/>
      <c r="R289" s="12"/>
      <c r="S289" s="12"/>
      <c r="T289" s="12"/>
      <c r="U289" s="14"/>
      <c r="V289" s="15"/>
      <c r="W289" s="12"/>
      <c r="X289" s="12"/>
      <c r="Y289" s="12"/>
      <c r="Z289" s="12"/>
      <c r="AA289" s="12"/>
      <c r="AB289" s="14"/>
      <c r="AC289" s="15"/>
      <c r="AD289" s="12"/>
      <c r="AE289" s="12"/>
      <c r="AF289" s="14"/>
      <c r="AG289" s="18"/>
      <c r="AH289" s="18"/>
      <c r="AI289" s="17"/>
      <c r="AJ289" s="181"/>
      <c r="AK289" s="13"/>
      <c r="AL289" s="181"/>
      <c r="AM289" s="175"/>
      <c r="AN289" s="192"/>
      <c r="AO289" s="13"/>
      <c r="AP289" s="181"/>
      <c r="AQ289" s="175"/>
      <c r="AR289" s="18"/>
      <c r="AS289" s="12"/>
      <c r="AT289" s="12"/>
      <c r="AU289" s="12"/>
      <c r="AV289" s="12"/>
      <c r="AW289" s="137"/>
      <c r="AX289" s="13"/>
      <c r="AY289" s="138"/>
      <c r="AZ289" s="140"/>
      <c r="BA289" s="18"/>
      <c r="BB289" s="18" t="e">
        <f>IF(#REF!&lt;&gt;0,IF(LL[[#This Row],[Date of Birth]]&lt;&gt;0,YEAR(#REF!-LL[[#This Row],[Date of Birth]])-1900,""),"")</f>
        <v>#REF!</v>
      </c>
      <c r="BC289" s="2" t="str">
        <f>IF(LL[[#This Row],[Sx Onset Date]]&gt;0,LL[[#This Row],[Sx Onset Date]],"")</f>
        <v/>
      </c>
      <c r="BD289" s="2" t="str">
        <f>IF(LL[[#This Row],[Lab-confirmed?]]="Y",LL[[#This Row],[Test Date]],"")</f>
        <v/>
      </c>
      <c r="BE289" s="2" t="str">
        <f>IF(LL[[#This Row],[Lab-confirmed?]]="Y",LL[[#This Row],[Test Date 2]],"")</f>
        <v/>
      </c>
      <c r="BF289" s="139" t="str">
        <f>IF(LL[[#This Row],[Date Reported to Public Health]]&gt;0,LL[[#This Row],[Date Reported to Public Health]],"")</f>
        <v/>
      </c>
      <c r="BG289" s="13" t="str">
        <f t="shared" si="4"/>
        <v/>
      </c>
    </row>
    <row r="290" spans="1:59" x14ac:dyDescent="0.3">
      <c r="A290" s="11">
        <v>286</v>
      </c>
      <c r="B290" s="12"/>
      <c r="C290" s="13"/>
      <c r="D290" s="12"/>
      <c r="E290" s="12"/>
      <c r="F290" s="12"/>
      <c r="G290" s="16"/>
      <c r="H290" s="12"/>
      <c r="I290" s="14"/>
      <c r="J290" s="137"/>
      <c r="K290" s="137"/>
      <c r="L290" s="18"/>
      <c r="M290" s="139"/>
      <c r="N290" s="140"/>
      <c r="O290" s="137"/>
      <c r="P290" s="137"/>
      <c r="Q290" s="15"/>
      <c r="R290" s="12"/>
      <c r="S290" s="12"/>
      <c r="T290" s="12"/>
      <c r="U290" s="14"/>
      <c r="V290" s="15"/>
      <c r="W290" s="12"/>
      <c r="X290" s="12"/>
      <c r="Y290" s="12"/>
      <c r="Z290" s="12"/>
      <c r="AA290" s="12"/>
      <c r="AB290" s="14"/>
      <c r="AC290" s="15"/>
      <c r="AD290" s="12"/>
      <c r="AE290" s="12"/>
      <c r="AF290" s="14"/>
      <c r="AG290" s="18"/>
      <c r="AH290" s="18"/>
      <c r="AI290" s="17"/>
      <c r="AJ290" s="181"/>
      <c r="AK290" s="13"/>
      <c r="AL290" s="181"/>
      <c r="AM290" s="175"/>
      <c r="AN290" s="192"/>
      <c r="AO290" s="13"/>
      <c r="AP290" s="181"/>
      <c r="AQ290" s="175"/>
      <c r="AR290" s="18"/>
      <c r="AS290" s="12"/>
      <c r="AT290" s="12"/>
      <c r="AU290" s="12"/>
      <c r="AV290" s="12"/>
      <c r="AW290" s="137"/>
      <c r="AX290" s="13"/>
      <c r="AY290" s="138"/>
      <c r="AZ290" s="140"/>
      <c r="BA290" s="18"/>
      <c r="BB290" s="18" t="e">
        <f>IF(#REF!&lt;&gt;0,IF(LL[[#This Row],[Date of Birth]]&lt;&gt;0,YEAR(#REF!-LL[[#This Row],[Date of Birth]])-1900,""),"")</f>
        <v>#REF!</v>
      </c>
      <c r="BC290" s="2" t="str">
        <f>IF(LL[[#This Row],[Sx Onset Date]]&gt;0,LL[[#This Row],[Sx Onset Date]],"")</f>
        <v/>
      </c>
      <c r="BD290" s="2" t="str">
        <f>IF(LL[[#This Row],[Lab-confirmed?]]="Y",LL[[#This Row],[Test Date]],"")</f>
        <v/>
      </c>
      <c r="BE290" s="2" t="str">
        <f>IF(LL[[#This Row],[Lab-confirmed?]]="Y",LL[[#This Row],[Test Date 2]],"")</f>
        <v/>
      </c>
      <c r="BF290" s="139" t="str">
        <f>IF(LL[[#This Row],[Date Reported to Public Health]]&gt;0,LL[[#This Row],[Date Reported to Public Health]],"")</f>
        <v/>
      </c>
      <c r="BG290" s="13" t="str">
        <f t="shared" si="4"/>
        <v/>
      </c>
    </row>
    <row r="291" spans="1:59" x14ac:dyDescent="0.3">
      <c r="A291" s="11">
        <v>287</v>
      </c>
      <c r="B291" s="12"/>
      <c r="C291" s="13"/>
      <c r="D291" s="12"/>
      <c r="E291" s="12"/>
      <c r="F291" s="12"/>
      <c r="G291" s="16"/>
      <c r="H291" s="12"/>
      <c r="I291" s="14"/>
      <c r="J291" s="137"/>
      <c r="K291" s="137"/>
      <c r="L291" s="18"/>
      <c r="M291" s="139"/>
      <c r="N291" s="140"/>
      <c r="O291" s="137"/>
      <c r="P291" s="137"/>
      <c r="Q291" s="15"/>
      <c r="R291" s="12"/>
      <c r="S291" s="12"/>
      <c r="T291" s="12"/>
      <c r="U291" s="14"/>
      <c r="V291" s="15"/>
      <c r="W291" s="12"/>
      <c r="X291" s="12"/>
      <c r="Y291" s="12"/>
      <c r="Z291" s="12"/>
      <c r="AA291" s="12"/>
      <c r="AB291" s="14"/>
      <c r="AC291" s="15"/>
      <c r="AD291" s="12"/>
      <c r="AE291" s="12"/>
      <c r="AF291" s="14"/>
      <c r="AG291" s="18"/>
      <c r="AH291" s="18"/>
      <c r="AI291" s="17"/>
      <c r="AJ291" s="181"/>
      <c r="AK291" s="13"/>
      <c r="AL291" s="181"/>
      <c r="AM291" s="175"/>
      <c r="AN291" s="192"/>
      <c r="AO291" s="13"/>
      <c r="AP291" s="181"/>
      <c r="AQ291" s="175"/>
      <c r="AR291" s="18"/>
      <c r="AS291" s="12"/>
      <c r="AT291" s="12"/>
      <c r="AU291" s="12"/>
      <c r="AV291" s="12"/>
      <c r="AW291" s="137"/>
      <c r="AX291" s="13"/>
      <c r="AY291" s="138"/>
      <c r="AZ291" s="140"/>
      <c r="BA291" s="18"/>
      <c r="BB291" s="18" t="e">
        <f>IF(#REF!&lt;&gt;0,IF(LL[[#This Row],[Date of Birth]]&lt;&gt;0,YEAR(#REF!-LL[[#This Row],[Date of Birth]])-1900,""),"")</f>
        <v>#REF!</v>
      </c>
      <c r="BC291" s="2" t="str">
        <f>IF(LL[[#This Row],[Sx Onset Date]]&gt;0,LL[[#This Row],[Sx Onset Date]],"")</f>
        <v/>
      </c>
      <c r="BD291" s="2" t="str">
        <f>IF(LL[[#This Row],[Lab-confirmed?]]="Y",LL[[#This Row],[Test Date]],"")</f>
        <v/>
      </c>
      <c r="BE291" s="2" t="str">
        <f>IF(LL[[#This Row],[Lab-confirmed?]]="Y",LL[[#This Row],[Test Date 2]],"")</f>
        <v/>
      </c>
      <c r="BF291" s="139" t="str">
        <f>IF(LL[[#This Row],[Date Reported to Public Health]]&gt;0,LL[[#This Row],[Date Reported to Public Health]],"")</f>
        <v/>
      </c>
      <c r="BG291" s="13" t="str">
        <f t="shared" si="4"/>
        <v/>
      </c>
    </row>
    <row r="292" spans="1:59" x14ac:dyDescent="0.3">
      <c r="A292" s="11">
        <v>288</v>
      </c>
      <c r="B292" s="12"/>
      <c r="C292" s="13"/>
      <c r="D292" s="12"/>
      <c r="E292" s="12"/>
      <c r="F292" s="12"/>
      <c r="G292" s="16"/>
      <c r="H292" s="12"/>
      <c r="I292" s="14"/>
      <c r="J292" s="137"/>
      <c r="K292" s="137"/>
      <c r="L292" s="18"/>
      <c r="M292" s="139"/>
      <c r="N292" s="140"/>
      <c r="O292" s="137"/>
      <c r="P292" s="137"/>
      <c r="Q292" s="15"/>
      <c r="R292" s="12"/>
      <c r="S292" s="12"/>
      <c r="T292" s="12"/>
      <c r="U292" s="14"/>
      <c r="V292" s="15"/>
      <c r="W292" s="12"/>
      <c r="X292" s="12"/>
      <c r="Y292" s="12"/>
      <c r="Z292" s="12"/>
      <c r="AA292" s="12"/>
      <c r="AB292" s="14"/>
      <c r="AC292" s="15"/>
      <c r="AD292" s="12"/>
      <c r="AE292" s="12"/>
      <c r="AF292" s="14"/>
      <c r="AG292" s="18"/>
      <c r="AH292" s="18"/>
      <c r="AI292" s="17"/>
      <c r="AJ292" s="181"/>
      <c r="AK292" s="13"/>
      <c r="AL292" s="181"/>
      <c r="AM292" s="175"/>
      <c r="AN292" s="192"/>
      <c r="AO292" s="13"/>
      <c r="AP292" s="181"/>
      <c r="AQ292" s="175"/>
      <c r="AR292" s="18"/>
      <c r="AS292" s="12"/>
      <c r="AT292" s="12"/>
      <c r="AU292" s="12"/>
      <c r="AV292" s="12"/>
      <c r="AW292" s="137"/>
      <c r="AX292" s="13"/>
      <c r="AY292" s="138"/>
      <c r="AZ292" s="140"/>
      <c r="BA292" s="18"/>
      <c r="BB292" s="18" t="e">
        <f>IF(#REF!&lt;&gt;0,IF(LL[[#This Row],[Date of Birth]]&lt;&gt;0,YEAR(#REF!-LL[[#This Row],[Date of Birth]])-1900,""),"")</f>
        <v>#REF!</v>
      </c>
      <c r="BC292" s="2" t="str">
        <f>IF(LL[[#This Row],[Sx Onset Date]]&gt;0,LL[[#This Row],[Sx Onset Date]],"")</f>
        <v/>
      </c>
      <c r="BD292" s="2" t="str">
        <f>IF(LL[[#This Row],[Lab-confirmed?]]="Y",LL[[#This Row],[Test Date]],"")</f>
        <v/>
      </c>
      <c r="BE292" s="2" t="str">
        <f>IF(LL[[#This Row],[Lab-confirmed?]]="Y",LL[[#This Row],[Test Date 2]],"")</f>
        <v/>
      </c>
      <c r="BF292" s="139" t="str">
        <f>IF(LL[[#This Row],[Date Reported to Public Health]]&gt;0,LL[[#This Row],[Date Reported to Public Health]],"")</f>
        <v/>
      </c>
      <c r="BG292" s="13" t="str">
        <f t="shared" si="4"/>
        <v/>
      </c>
    </row>
    <row r="293" spans="1:59" x14ac:dyDescent="0.3">
      <c r="A293" s="11">
        <v>289</v>
      </c>
      <c r="B293" s="12"/>
      <c r="C293" s="13"/>
      <c r="D293" s="12"/>
      <c r="E293" s="12"/>
      <c r="F293" s="12"/>
      <c r="G293" s="16"/>
      <c r="H293" s="12"/>
      <c r="I293" s="14"/>
      <c r="J293" s="137"/>
      <c r="K293" s="137"/>
      <c r="L293" s="18"/>
      <c r="M293" s="139"/>
      <c r="N293" s="140"/>
      <c r="O293" s="137"/>
      <c r="P293" s="137"/>
      <c r="Q293" s="15"/>
      <c r="R293" s="12"/>
      <c r="S293" s="12"/>
      <c r="T293" s="12"/>
      <c r="U293" s="14"/>
      <c r="V293" s="15"/>
      <c r="W293" s="12"/>
      <c r="X293" s="12"/>
      <c r="Y293" s="12"/>
      <c r="Z293" s="12"/>
      <c r="AA293" s="12"/>
      <c r="AB293" s="14"/>
      <c r="AC293" s="15"/>
      <c r="AD293" s="12"/>
      <c r="AE293" s="12"/>
      <c r="AF293" s="14"/>
      <c r="AG293" s="18"/>
      <c r="AH293" s="18"/>
      <c r="AI293" s="17"/>
      <c r="AJ293" s="181"/>
      <c r="AK293" s="13"/>
      <c r="AL293" s="181"/>
      <c r="AM293" s="175"/>
      <c r="AN293" s="192"/>
      <c r="AO293" s="13"/>
      <c r="AP293" s="181"/>
      <c r="AQ293" s="175"/>
      <c r="AR293" s="18"/>
      <c r="AS293" s="12"/>
      <c r="AT293" s="12"/>
      <c r="AU293" s="12"/>
      <c r="AV293" s="12"/>
      <c r="AW293" s="137"/>
      <c r="AX293" s="13"/>
      <c r="AY293" s="138"/>
      <c r="AZ293" s="140"/>
      <c r="BA293" s="18"/>
      <c r="BB293" s="18" t="e">
        <f>IF(#REF!&lt;&gt;0,IF(LL[[#This Row],[Date of Birth]]&lt;&gt;0,YEAR(#REF!-LL[[#This Row],[Date of Birth]])-1900,""),"")</f>
        <v>#REF!</v>
      </c>
      <c r="BC293" s="2" t="str">
        <f>IF(LL[[#This Row],[Sx Onset Date]]&gt;0,LL[[#This Row],[Sx Onset Date]],"")</f>
        <v/>
      </c>
      <c r="BD293" s="2" t="str">
        <f>IF(LL[[#This Row],[Lab-confirmed?]]="Y",LL[[#This Row],[Test Date]],"")</f>
        <v/>
      </c>
      <c r="BE293" s="2" t="str">
        <f>IF(LL[[#This Row],[Lab-confirmed?]]="Y",LL[[#This Row],[Test Date 2]],"")</f>
        <v/>
      </c>
      <c r="BF293" s="139" t="str">
        <f>IF(LL[[#This Row],[Date Reported to Public Health]]&gt;0,LL[[#This Row],[Date Reported to Public Health]],"")</f>
        <v/>
      </c>
      <c r="BG293" s="13" t="str">
        <f t="shared" si="4"/>
        <v/>
      </c>
    </row>
    <row r="294" spans="1:59" x14ac:dyDescent="0.3">
      <c r="A294" s="11">
        <v>290</v>
      </c>
      <c r="B294" s="12"/>
      <c r="C294" s="13"/>
      <c r="D294" s="12"/>
      <c r="E294" s="12"/>
      <c r="F294" s="12"/>
      <c r="G294" s="16"/>
      <c r="H294" s="12"/>
      <c r="I294" s="14"/>
      <c r="J294" s="137"/>
      <c r="K294" s="137"/>
      <c r="L294" s="18"/>
      <c r="M294" s="139"/>
      <c r="N294" s="140"/>
      <c r="O294" s="137"/>
      <c r="P294" s="137"/>
      <c r="Q294" s="15"/>
      <c r="R294" s="12"/>
      <c r="S294" s="12"/>
      <c r="T294" s="12"/>
      <c r="U294" s="14"/>
      <c r="V294" s="15"/>
      <c r="W294" s="12"/>
      <c r="X294" s="12"/>
      <c r="Y294" s="12"/>
      <c r="Z294" s="12"/>
      <c r="AA294" s="12"/>
      <c r="AB294" s="14"/>
      <c r="AC294" s="15"/>
      <c r="AD294" s="12"/>
      <c r="AE294" s="12"/>
      <c r="AF294" s="14"/>
      <c r="AG294" s="18"/>
      <c r="AH294" s="18"/>
      <c r="AI294" s="17"/>
      <c r="AJ294" s="181"/>
      <c r="AK294" s="13"/>
      <c r="AL294" s="181"/>
      <c r="AM294" s="175"/>
      <c r="AN294" s="192"/>
      <c r="AO294" s="13"/>
      <c r="AP294" s="181"/>
      <c r="AQ294" s="175"/>
      <c r="AR294" s="18"/>
      <c r="AS294" s="12"/>
      <c r="AT294" s="12"/>
      <c r="AU294" s="12"/>
      <c r="AV294" s="12"/>
      <c r="AW294" s="137"/>
      <c r="AX294" s="13"/>
      <c r="AY294" s="138"/>
      <c r="AZ294" s="140"/>
      <c r="BA294" s="18"/>
      <c r="BB294" s="18" t="e">
        <f>IF(#REF!&lt;&gt;0,IF(LL[[#This Row],[Date of Birth]]&lt;&gt;0,YEAR(#REF!-LL[[#This Row],[Date of Birth]])-1900,""),"")</f>
        <v>#REF!</v>
      </c>
      <c r="BC294" s="2" t="str">
        <f>IF(LL[[#This Row],[Sx Onset Date]]&gt;0,LL[[#This Row],[Sx Onset Date]],"")</f>
        <v/>
      </c>
      <c r="BD294" s="2" t="str">
        <f>IF(LL[[#This Row],[Lab-confirmed?]]="Y",LL[[#This Row],[Test Date]],"")</f>
        <v/>
      </c>
      <c r="BE294" s="2" t="str">
        <f>IF(LL[[#This Row],[Lab-confirmed?]]="Y",LL[[#This Row],[Test Date 2]],"")</f>
        <v/>
      </c>
      <c r="BF294" s="139" t="str">
        <f>IF(LL[[#This Row],[Date Reported to Public Health]]&gt;0,LL[[#This Row],[Date Reported to Public Health]],"")</f>
        <v/>
      </c>
      <c r="BG294" s="13" t="str">
        <f t="shared" si="4"/>
        <v/>
      </c>
    </row>
    <row r="295" spans="1:59" x14ac:dyDescent="0.3">
      <c r="A295" s="11">
        <v>291</v>
      </c>
      <c r="B295" s="12"/>
      <c r="C295" s="13"/>
      <c r="D295" s="12"/>
      <c r="E295" s="12"/>
      <c r="F295" s="12"/>
      <c r="G295" s="16"/>
      <c r="H295" s="12"/>
      <c r="I295" s="14"/>
      <c r="J295" s="137"/>
      <c r="K295" s="137"/>
      <c r="L295" s="18"/>
      <c r="M295" s="139"/>
      <c r="N295" s="140"/>
      <c r="O295" s="137"/>
      <c r="P295" s="137"/>
      <c r="Q295" s="15"/>
      <c r="R295" s="12"/>
      <c r="S295" s="12"/>
      <c r="T295" s="12"/>
      <c r="U295" s="14"/>
      <c r="V295" s="15"/>
      <c r="W295" s="12"/>
      <c r="X295" s="12"/>
      <c r="Y295" s="12"/>
      <c r="Z295" s="12"/>
      <c r="AA295" s="12"/>
      <c r="AB295" s="14"/>
      <c r="AC295" s="15"/>
      <c r="AD295" s="12"/>
      <c r="AE295" s="12"/>
      <c r="AF295" s="14"/>
      <c r="AG295" s="18"/>
      <c r="AH295" s="18"/>
      <c r="AI295" s="17"/>
      <c r="AJ295" s="181"/>
      <c r="AK295" s="13"/>
      <c r="AL295" s="181"/>
      <c r="AM295" s="175"/>
      <c r="AN295" s="192"/>
      <c r="AO295" s="13"/>
      <c r="AP295" s="181"/>
      <c r="AQ295" s="175"/>
      <c r="AR295" s="18"/>
      <c r="AS295" s="12"/>
      <c r="AT295" s="12"/>
      <c r="AU295" s="12"/>
      <c r="AV295" s="12"/>
      <c r="AW295" s="137"/>
      <c r="AX295" s="13"/>
      <c r="AY295" s="138"/>
      <c r="AZ295" s="140"/>
      <c r="BA295" s="18"/>
      <c r="BB295" s="18" t="e">
        <f>IF(#REF!&lt;&gt;0,IF(LL[[#This Row],[Date of Birth]]&lt;&gt;0,YEAR(#REF!-LL[[#This Row],[Date of Birth]])-1900,""),"")</f>
        <v>#REF!</v>
      </c>
      <c r="BC295" s="2" t="str">
        <f>IF(LL[[#This Row],[Sx Onset Date]]&gt;0,LL[[#This Row],[Sx Onset Date]],"")</f>
        <v/>
      </c>
      <c r="BD295" s="2" t="str">
        <f>IF(LL[[#This Row],[Lab-confirmed?]]="Y",LL[[#This Row],[Test Date]],"")</f>
        <v/>
      </c>
      <c r="BE295" s="2" t="str">
        <f>IF(LL[[#This Row],[Lab-confirmed?]]="Y",LL[[#This Row],[Test Date 2]],"")</f>
        <v/>
      </c>
      <c r="BF295" s="139" t="str">
        <f>IF(LL[[#This Row],[Date Reported to Public Health]]&gt;0,LL[[#This Row],[Date Reported to Public Health]],"")</f>
        <v/>
      </c>
      <c r="BG295" s="13" t="str">
        <f t="shared" si="4"/>
        <v/>
      </c>
    </row>
    <row r="296" spans="1:59" x14ac:dyDescent="0.3">
      <c r="A296" s="11">
        <v>292</v>
      </c>
      <c r="B296" s="12"/>
      <c r="C296" s="13"/>
      <c r="D296" s="12"/>
      <c r="E296" s="12"/>
      <c r="F296" s="12"/>
      <c r="G296" s="16"/>
      <c r="H296" s="12"/>
      <c r="I296" s="14"/>
      <c r="J296" s="137"/>
      <c r="K296" s="137"/>
      <c r="L296" s="18"/>
      <c r="M296" s="139"/>
      <c r="N296" s="140"/>
      <c r="O296" s="137"/>
      <c r="P296" s="137"/>
      <c r="Q296" s="15"/>
      <c r="R296" s="12"/>
      <c r="S296" s="12"/>
      <c r="T296" s="12"/>
      <c r="U296" s="14"/>
      <c r="V296" s="15"/>
      <c r="W296" s="12"/>
      <c r="X296" s="12"/>
      <c r="Y296" s="12"/>
      <c r="Z296" s="12"/>
      <c r="AA296" s="12"/>
      <c r="AB296" s="14"/>
      <c r="AC296" s="15"/>
      <c r="AD296" s="12"/>
      <c r="AE296" s="12"/>
      <c r="AF296" s="14"/>
      <c r="AG296" s="18"/>
      <c r="AH296" s="18"/>
      <c r="AI296" s="17"/>
      <c r="AJ296" s="181"/>
      <c r="AK296" s="13"/>
      <c r="AL296" s="181"/>
      <c r="AM296" s="175"/>
      <c r="AN296" s="192"/>
      <c r="AO296" s="13"/>
      <c r="AP296" s="181"/>
      <c r="AQ296" s="175"/>
      <c r="AR296" s="18"/>
      <c r="AS296" s="12"/>
      <c r="AT296" s="12"/>
      <c r="AU296" s="12"/>
      <c r="AV296" s="12"/>
      <c r="AW296" s="137"/>
      <c r="AX296" s="13"/>
      <c r="AY296" s="138"/>
      <c r="AZ296" s="140"/>
      <c r="BA296" s="18"/>
      <c r="BB296" s="18" t="e">
        <f>IF(#REF!&lt;&gt;0,IF(LL[[#This Row],[Date of Birth]]&lt;&gt;0,YEAR(#REF!-LL[[#This Row],[Date of Birth]])-1900,""),"")</f>
        <v>#REF!</v>
      </c>
      <c r="BC296" s="2" t="str">
        <f>IF(LL[[#This Row],[Sx Onset Date]]&gt;0,LL[[#This Row],[Sx Onset Date]],"")</f>
        <v/>
      </c>
      <c r="BD296" s="2" t="str">
        <f>IF(LL[[#This Row],[Lab-confirmed?]]="Y",LL[[#This Row],[Test Date]],"")</f>
        <v/>
      </c>
      <c r="BE296" s="2" t="str">
        <f>IF(LL[[#This Row],[Lab-confirmed?]]="Y",LL[[#This Row],[Test Date 2]],"")</f>
        <v/>
      </c>
      <c r="BF296" s="139" t="str">
        <f>IF(LL[[#This Row],[Date Reported to Public Health]]&gt;0,LL[[#This Row],[Date Reported to Public Health]],"")</f>
        <v/>
      </c>
      <c r="BG296" s="13" t="str">
        <f t="shared" si="4"/>
        <v/>
      </c>
    </row>
    <row r="297" spans="1:59" x14ac:dyDescent="0.3">
      <c r="A297" s="11">
        <v>293</v>
      </c>
      <c r="B297" s="12"/>
      <c r="C297" s="13"/>
      <c r="D297" s="12"/>
      <c r="E297" s="12"/>
      <c r="F297" s="12"/>
      <c r="G297" s="16"/>
      <c r="H297" s="12"/>
      <c r="I297" s="14"/>
      <c r="J297" s="137"/>
      <c r="K297" s="137"/>
      <c r="L297" s="18"/>
      <c r="M297" s="139"/>
      <c r="N297" s="140"/>
      <c r="O297" s="137"/>
      <c r="P297" s="137"/>
      <c r="Q297" s="15"/>
      <c r="R297" s="12"/>
      <c r="S297" s="12"/>
      <c r="T297" s="12"/>
      <c r="U297" s="14"/>
      <c r="V297" s="15"/>
      <c r="W297" s="12"/>
      <c r="X297" s="12"/>
      <c r="Y297" s="12"/>
      <c r="Z297" s="12"/>
      <c r="AA297" s="12"/>
      <c r="AB297" s="14"/>
      <c r="AC297" s="15"/>
      <c r="AD297" s="12"/>
      <c r="AE297" s="12"/>
      <c r="AF297" s="14"/>
      <c r="AG297" s="18"/>
      <c r="AH297" s="18"/>
      <c r="AI297" s="17"/>
      <c r="AJ297" s="181"/>
      <c r="AK297" s="13"/>
      <c r="AL297" s="181"/>
      <c r="AM297" s="175"/>
      <c r="AN297" s="192"/>
      <c r="AO297" s="13"/>
      <c r="AP297" s="181"/>
      <c r="AQ297" s="175"/>
      <c r="AR297" s="18"/>
      <c r="AS297" s="12"/>
      <c r="AT297" s="12"/>
      <c r="AU297" s="12"/>
      <c r="AV297" s="12"/>
      <c r="AW297" s="137"/>
      <c r="AX297" s="13"/>
      <c r="AY297" s="138"/>
      <c r="AZ297" s="140"/>
      <c r="BA297" s="18"/>
      <c r="BB297" s="18" t="e">
        <f>IF(#REF!&lt;&gt;0,IF(LL[[#This Row],[Date of Birth]]&lt;&gt;0,YEAR(#REF!-LL[[#This Row],[Date of Birth]])-1900,""),"")</f>
        <v>#REF!</v>
      </c>
      <c r="BC297" s="2" t="str">
        <f>IF(LL[[#This Row],[Sx Onset Date]]&gt;0,LL[[#This Row],[Sx Onset Date]],"")</f>
        <v/>
      </c>
      <c r="BD297" s="2" t="str">
        <f>IF(LL[[#This Row],[Lab-confirmed?]]="Y",LL[[#This Row],[Test Date]],"")</f>
        <v/>
      </c>
      <c r="BE297" s="2" t="str">
        <f>IF(LL[[#This Row],[Lab-confirmed?]]="Y",LL[[#This Row],[Test Date 2]],"")</f>
        <v/>
      </c>
      <c r="BF297" s="139" t="str">
        <f>IF(LL[[#This Row],[Date Reported to Public Health]]&gt;0,LL[[#This Row],[Date Reported to Public Health]],"")</f>
        <v/>
      </c>
      <c r="BG297" s="13" t="str">
        <f t="shared" si="4"/>
        <v/>
      </c>
    </row>
    <row r="298" spans="1:59" x14ac:dyDescent="0.3">
      <c r="A298" s="11">
        <v>294</v>
      </c>
      <c r="B298" s="12"/>
      <c r="C298" s="13"/>
      <c r="D298" s="12"/>
      <c r="E298" s="12"/>
      <c r="F298" s="12"/>
      <c r="G298" s="16"/>
      <c r="H298" s="12"/>
      <c r="I298" s="14"/>
      <c r="J298" s="137"/>
      <c r="K298" s="137"/>
      <c r="L298" s="18"/>
      <c r="M298" s="139"/>
      <c r="N298" s="140"/>
      <c r="O298" s="137"/>
      <c r="P298" s="137"/>
      <c r="Q298" s="15"/>
      <c r="R298" s="12"/>
      <c r="S298" s="12"/>
      <c r="T298" s="12"/>
      <c r="U298" s="14"/>
      <c r="V298" s="15"/>
      <c r="W298" s="12"/>
      <c r="X298" s="12"/>
      <c r="Y298" s="12"/>
      <c r="Z298" s="12"/>
      <c r="AA298" s="12"/>
      <c r="AB298" s="14"/>
      <c r="AC298" s="15"/>
      <c r="AD298" s="12"/>
      <c r="AE298" s="12"/>
      <c r="AF298" s="14"/>
      <c r="AG298" s="18"/>
      <c r="AH298" s="18"/>
      <c r="AI298" s="17"/>
      <c r="AJ298" s="181"/>
      <c r="AK298" s="13"/>
      <c r="AL298" s="181"/>
      <c r="AM298" s="175"/>
      <c r="AN298" s="192"/>
      <c r="AO298" s="13"/>
      <c r="AP298" s="181"/>
      <c r="AQ298" s="175"/>
      <c r="AR298" s="18"/>
      <c r="AS298" s="12"/>
      <c r="AT298" s="12"/>
      <c r="AU298" s="12"/>
      <c r="AV298" s="12"/>
      <c r="AW298" s="137"/>
      <c r="AX298" s="13"/>
      <c r="AY298" s="138"/>
      <c r="AZ298" s="140"/>
      <c r="BA298" s="18"/>
      <c r="BB298" s="18" t="e">
        <f>IF(#REF!&lt;&gt;0,IF(LL[[#This Row],[Date of Birth]]&lt;&gt;0,YEAR(#REF!-LL[[#This Row],[Date of Birth]])-1900,""),"")</f>
        <v>#REF!</v>
      </c>
      <c r="BC298" s="2" t="str">
        <f>IF(LL[[#This Row],[Sx Onset Date]]&gt;0,LL[[#This Row],[Sx Onset Date]],"")</f>
        <v/>
      </c>
      <c r="BD298" s="2" t="str">
        <f>IF(LL[[#This Row],[Lab-confirmed?]]="Y",LL[[#This Row],[Test Date]],"")</f>
        <v/>
      </c>
      <c r="BE298" s="2" t="str">
        <f>IF(LL[[#This Row],[Lab-confirmed?]]="Y",LL[[#This Row],[Test Date 2]],"")</f>
        <v/>
      </c>
      <c r="BF298" s="139" t="str">
        <f>IF(LL[[#This Row],[Date Reported to Public Health]]&gt;0,LL[[#This Row],[Date Reported to Public Health]],"")</f>
        <v/>
      </c>
      <c r="BG298" s="13" t="str">
        <f t="shared" si="4"/>
        <v/>
      </c>
    </row>
    <row r="299" spans="1:59" x14ac:dyDescent="0.3">
      <c r="A299" s="11">
        <v>295</v>
      </c>
      <c r="B299" s="12"/>
      <c r="C299" s="13"/>
      <c r="D299" s="12"/>
      <c r="E299" s="12"/>
      <c r="F299" s="12"/>
      <c r="G299" s="16"/>
      <c r="H299" s="12"/>
      <c r="I299" s="14"/>
      <c r="J299" s="137"/>
      <c r="K299" s="137"/>
      <c r="L299" s="18"/>
      <c r="M299" s="139"/>
      <c r="N299" s="140"/>
      <c r="O299" s="137"/>
      <c r="P299" s="137"/>
      <c r="Q299" s="15"/>
      <c r="R299" s="12"/>
      <c r="S299" s="12"/>
      <c r="T299" s="12"/>
      <c r="U299" s="14"/>
      <c r="V299" s="15"/>
      <c r="W299" s="12"/>
      <c r="X299" s="12"/>
      <c r="Y299" s="12"/>
      <c r="Z299" s="12"/>
      <c r="AA299" s="12"/>
      <c r="AB299" s="14"/>
      <c r="AC299" s="15"/>
      <c r="AD299" s="12"/>
      <c r="AE299" s="12"/>
      <c r="AF299" s="14"/>
      <c r="AG299" s="18"/>
      <c r="AH299" s="18"/>
      <c r="AI299" s="17"/>
      <c r="AJ299" s="181"/>
      <c r="AK299" s="13"/>
      <c r="AL299" s="181"/>
      <c r="AM299" s="175"/>
      <c r="AN299" s="192"/>
      <c r="AO299" s="13"/>
      <c r="AP299" s="181"/>
      <c r="AQ299" s="175"/>
      <c r="AR299" s="18"/>
      <c r="AS299" s="12"/>
      <c r="AT299" s="12"/>
      <c r="AU299" s="12"/>
      <c r="AV299" s="12"/>
      <c r="AW299" s="137"/>
      <c r="AX299" s="13"/>
      <c r="AY299" s="138"/>
      <c r="AZ299" s="140"/>
      <c r="BA299" s="18"/>
      <c r="BB299" s="18" t="e">
        <f>IF(#REF!&lt;&gt;0,IF(LL[[#This Row],[Date of Birth]]&lt;&gt;0,YEAR(#REF!-LL[[#This Row],[Date of Birth]])-1900,""),"")</f>
        <v>#REF!</v>
      </c>
      <c r="BC299" s="2" t="str">
        <f>IF(LL[[#This Row],[Sx Onset Date]]&gt;0,LL[[#This Row],[Sx Onset Date]],"")</f>
        <v/>
      </c>
      <c r="BD299" s="2" t="str">
        <f>IF(LL[[#This Row],[Lab-confirmed?]]="Y",LL[[#This Row],[Test Date]],"")</f>
        <v/>
      </c>
      <c r="BE299" s="2" t="str">
        <f>IF(LL[[#This Row],[Lab-confirmed?]]="Y",LL[[#This Row],[Test Date 2]],"")</f>
        <v/>
      </c>
      <c r="BF299" s="139" t="str">
        <f>IF(LL[[#This Row],[Date Reported to Public Health]]&gt;0,LL[[#This Row],[Date Reported to Public Health]],"")</f>
        <v/>
      </c>
      <c r="BG299" s="13" t="str">
        <f t="shared" si="4"/>
        <v/>
      </c>
    </row>
    <row r="300" spans="1:59" x14ac:dyDescent="0.3">
      <c r="A300" s="11">
        <v>296</v>
      </c>
      <c r="B300" s="12"/>
      <c r="C300" s="13"/>
      <c r="D300" s="12"/>
      <c r="E300" s="12"/>
      <c r="F300" s="12"/>
      <c r="G300" s="16"/>
      <c r="H300" s="12"/>
      <c r="I300" s="14"/>
      <c r="J300" s="137"/>
      <c r="K300" s="137"/>
      <c r="L300" s="18"/>
      <c r="M300" s="139"/>
      <c r="N300" s="140"/>
      <c r="O300" s="137"/>
      <c r="P300" s="137"/>
      <c r="Q300" s="15"/>
      <c r="R300" s="12"/>
      <c r="S300" s="12"/>
      <c r="T300" s="12"/>
      <c r="U300" s="14"/>
      <c r="V300" s="15"/>
      <c r="W300" s="12"/>
      <c r="X300" s="12"/>
      <c r="Y300" s="12"/>
      <c r="Z300" s="12"/>
      <c r="AA300" s="12"/>
      <c r="AB300" s="14"/>
      <c r="AC300" s="15"/>
      <c r="AD300" s="12"/>
      <c r="AE300" s="12"/>
      <c r="AF300" s="14"/>
      <c r="AG300" s="18"/>
      <c r="AH300" s="18"/>
      <c r="AI300" s="17"/>
      <c r="AJ300" s="181"/>
      <c r="AK300" s="13"/>
      <c r="AL300" s="181"/>
      <c r="AM300" s="175"/>
      <c r="AN300" s="192"/>
      <c r="AO300" s="13"/>
      <c r="AP300" s="181"/>
      <c r="AQ300" s="175"/>
      <c r="AR300" s="18"/>
      <c r="AS300" s="12"/>
      <c r="AT300" s="12"/>
      <c r="AU300" s="12"/>
      <c r="AV300" s="12"/>
      <c r="AW300" s="137"/>
      <c r="AX300" s="13"/>
      <c r="AY300" s="138"/>
      <c r="AZ300" s="140"/>
      <c r="BA300" s="18"/>
      <c r="BB300" s="18" t="e">
        <f>IF(#REF!&lt;&gt;0,IF(LL[[#This Row],[Date of Birth]]&lt;&gt;0,YEAR(#REF!-LL[[#This Row],[Date of Birth]])-1900,""),"")</f>
        <v>#REF!</v>
      </c>
      <c r="BC300" s="2" t="str">
        <f>IF(LL[[#This Row],[Sx Onset Date]]&gt;0,LL[[#This Row],[Sx Onset Date]],"")</f>
        <v/>
      </c>
      <c r="BD300" s="2" t="str">
        <f>IF(LL[[#This Row],[Lab-confirmed?]]="Y",LL[[#This Row],[Test Date]],"")</f>
        <v/>
      </c>
      <c r="BE300" s="2" t="str">
        <f>IF(LL[[#This Row],[Lab-confirmed?]]="Y",LL[[#This Row],[Test Date 2]],"")</f>
        <v/>
      </c>
      <c r="BF300" s="139" t="str">
        <f>IF(LL[[#This Row],[Date Reported to Public Health]]&gt;0,LL[[#This Row],[Date Reported to Public Health]],"")</f>
        <v/>
      </c>
      <c r="BG300" s="13" t="str">
        <f t="shared" si="4"/>
        <v/>
      </c>
    </row>
    <row r="301" spans="1:59" x14ac:dyDescent="0.3">
      <c r="A301" s="11">
        <v>297</v>
      </c>
      <c r="B301" s="12"/>
      <c r="C301" s="13"/>
      <c r="D301" s="12"/>
      <c r="E301" s="12"/>
      <c r="F301" s="12"/>
      <c r="G301" s="16"/>
      <c r="H301" s="12"/>
      <c r="I301" s="14"/>
      <c r="J301" s="137"/>
      <c r="K301" s="137"/>
      <c r="L301" s="18"/>
      <c r="M301" s="139"/>
      <c r="N301" s="140"/>
      <c r="O301" s="137"/>
      <c r="P301" s="137"/>
      <c r="Q301" s="15"/>
      <c r="R301" s="12"/>
      <c r="S301" s="12"/>
      <c r="T301" s="12"/>
      <c r="U301" s="14"/>
      <c r="V301" s="15"/>
      <c r="W301" s="12"/>
      <c r="X301" s="12"/>
      <c r="Y301" s="12"/>
      <c r="Z301" s="12"/>
      <c r="AA301" s="12"/>
      <c r="AB301" s="14"/>
      <c r="AC301" s="15"/>
      <c r="AD301" s="12"/>
      <c r="AE301" s="12"/>
      <c r="AF301" s="14"/>
      <c r="AG301" s="18"/>
      <c r="AH301" s="18"/>
      <c r="AI301" s="17"/>
      <c r="AJ301" s="181"/>
      <c r="AK301" s="13"/>
      <c r="AL301" s="181"/>
      <c r="AM301" s="175"/>
      <c r="AN301" s="192"/>
      <c r="AO301" s="13"/>
      <c r="AP301" s="181"/>
      <c r="AQ301" s="175"/>
      <c r="AR301" s="18"/>
      <c r="AS301" s="12"/>
      <c r="AT301" s="12"/>
      <c r="AU301" s="12"/>
      <c r="AV301" s="12"/>
      <c r="AW301" s="137"/>
      <c r="AX301" s="13"/>
      <c r="AY301" s="138"/>
      <c r="AZ301" s="140"/>
      <c r="BA301" s="18"/>
      <c r="BB301" s="18" t="e">
        <f>IF(#REF!&lt;&gt;0,IF(LL[[#This Row],[Date of Birth]]&lt;&gt;0,YEAR(#REF!-LL[[#This Row],[Date of Birth]])-1900,""),"")</f>
        <v>#REF!</v>
      </c>
      <c r="BC301" s="2" t="str">
        <f>IF(LL[[#This Row],[Sx Onset Date]]&gt;0,LL[[#This Row],[Sx Onset Date]],"")</f>
        <v/>
      </c>
      <c r="BD301" s="2" t="str">
        <f>IF(LL[[#This Row],[Lab-confirmed?]]="Y",LL[[#This Row],[Test Date]],"")</f>
        <v/>
      </c>
      <c r="BE301" s="2" t="str">
        <f>IF(LL[[#This Row],[Lab-confirmed?]]="Y",LL[[#This Row],[Test Date 2]],"")</f>
        <v/>
      </c>
      <c r="BF301" s="139" t="str">
        <f>IF(LL[[#This Row],[Date Reported to Public Health]]&gt;0,LL[[#This Row],[Date Reported to Public Health]],"")</f>
        <v/>
      </c>
      <c r="BG301" s="13" t="str">
        <f t="shared" si="4"/>
        <v/>
      </c>
    </row>
    <row r="302" spans="1:59" x14ac:dyDescent="0.3">
      <c r="A302" s="11">
        <v>298</v>
      </c>
      <c r="B302" s="12"/>
      <c r="C302" s="13"/>
      <c r="D302" s="12"/>
      <c r="E302" s="12"/>
      <c r="F302" s="12"/>
      <c r="G302" s="16"/>
      <c r="H302" s="12"/>
      <c r="I302" s="14"/>
      <c r="J302" s="137"/>
      <c r="K302" s="137"/>
      <c r="L302" s="18"/>
      <c r="M302" s="139"/>
      <c r="N302" s="140"/>
      <c r="O302" s="137"/>
      <c r="P302" s="137"/>
      <c r="Q302" s="15"/>
      <c r="R302" s="12"/>
      <c r="S302" s="12"/>
      <c r="T302" s="12"/>
      <c r="U302" s="14"/>
      <c r="V302" s="15"/>
      <c r="W302" s="12"/>
      <c r="X302" s="12"/>
      <c r="Y302" s="12"/>
      <c r="Z302" s="12"/>
      <c r="AA302" s="12"/>
      <c r="AB302" s="14"/>
      <c r="AC302" s="15"/>
      <c r="AD302" s="12"/>
      <c r="AE302" s="12"/>
      <c r="AF302" s="14"/>
      <c r="AG302" s="18"/>
      <c r="AH302" s="18"/>
      <c r="AI302" s="17"/>
      <c r="AJ302" s="181"/>
      <c r="AK302" s="13"/>
      <c r="AL302" s="181"/>
      <c r="AM302" s="175"/>
      <c r="AN302" s="192"/>
      <c r="AO302" s="13"/>
      <c r="AP302" s="181"/>
      <c r="AQ302" s="175"/>
      <c r="AR302" s="18"/>
      <c r="AS302" s="12"/>
      <c r="AT302" s="12"/>
      <c r="AU302" s="12"/>
      <c r="AV302" s="12"/>
      <c r="AW302" s="137"/>
      <c r="AX302" s="13"/>
      <c r="AY302" s="138"/>
      <c r="AZ302" s="140"/>
      <c r="BA302" s="18"/>
      <c r="BB302" s="18" t="e">
        <f>IF(#REF!&lt;&gt;0,IF(LL[[#This Row],[Date of Birth]]&lt;&gt;0,YEAR(#REF!-LL[[#This Row],[Date of Birth]])-1900,""),"")</f>
        <v>#REF!</v>
      </c>
      <c r="BC302" s="2" t="str">
        <f>IF(LL[[#This Row],[Sx Onset Date]]&gt;0,LL[[#This Row],[Sx Onset Date]],"")</f>
        <v/>
      </c>
      <c r="BD302" s="2" t="str">
        <f>IF(LL[[#This Row],[Lab-confirmed?]]="Y",LL[[#This Row],[Test Date]],"")</f>
        <v/>
      </c>
      <c r="BE302" s="2" t="str">
        <f>IF(LL[[#This Row],[Lab-confirmed?]]="Y",LL[[#This Row],[Test Date 2]],"")</f>
        <v/>
      </c>
      <c r="BF302" s="139" t="str">
        <f>IF(LL[[#This Row],[Date Reported to Public Health]]&gt;0,LL[[#This Row],[Date Reported to Public Health]],"")</f>
        <v/>
      </c>
      <c r="BG302" s="13" t="str">
        <f t="shared" si="4"/>
        <v/>
      </c>
    </row>
    <row r="303" spans="1:59" x14ac:dyDescent="0.3">
      <c r="A303" s="11">
        <v>299</v>
      </c>
      <c r="B303" s="12"/>
      <c r="C303" s="13"/>
      <c r="D303" s="12"/>
      <c r="E303" s="12"/>
      <c r="F303" s="12"/>
      <c r="G303" s="16"/>
      <c r="H303" s="12"/>
      <c r="I303" s="14"/>
      <c r="J303" s="137"/>
      <c r="K303" s="137"/>
      <c r="L303" s="18"/>
      <c r="M303" s="139"/>
      <c r="N303" s="140"/>
      <c r="O303" s="137"/>
      <c r="P303" s="137"/>
      <c r="Q303" s="15"/>
      <c r="R303" s="12"/>
      <c r="S303" s="12"/>
      <c r="T303" s="12"/>
      <c r="U303" s="14"/>
      <c r="V303" s="15"/>
      <c r="W303" s="12"/>
      <c r="X303" s="12"/>
      <c r="Y303" s="12"/>
      <c r="Z303" s="12"/>
      <c r="AA303" s="12"/>
      <c r="AB303" s="14"/>
      <c r="AC303" s="15"/>
      <c r="AD303" s="12"/>
      <c r="AE303" s="12"/>
      <c r="AF303" s="14"/>
      <c r="AG303" s="18"/>
      <c r="AH303" s="18"/>
      <c r="AI303" s="17"/>
      <c r="AJ303" s="181"/>
      <c r="AK303" s="13"/>
      <c r="AL303" s="181"/>
      <c r="AM303" s="175"/>
      <c r="AN303" s="192"/>
      <c r="AO303" s="13"/>
      <c r="AP303" s="181"/>
      <c r="AQ303" s="175"/>
      <c r="AR303" s="18"/>
      <c r="AS303" s="12"/>
      <c r="AT303" s="12"/>
      <c r="AU303" s="12"/>
      <c r="AV303" s="12"/>
      <c r="AW303" s="137"/>
      <c r="AX303" s="13"/>
      <c r="AY303" s="138"/>
      <c r="AZ303" s="140"/>
      <c r="BA303" s="18"/>
      <c r="BB303" s="18" t="e">
        <f>IF(#REF!&lt;&gt;0,IF(LL[[#This Row],[Date of Birth]]&lt;&gt;0,YEAR(#REF!-LL[[#This Row],[Date of Birth]])-1900,""),"")</f>
        <v>#REF!</v>
      </c>
      <c r="BC303" s="2" t="str">
        <f>IF(LL[[#This Row],[Sx Onset Date]]&gt;0,LL[[#This Row],[Sx Onset Date]],"")</f>
        <v/>
      </c>
      <c r="BD303" s="2" t="str">
        <f>IF(LL[[#This Row],[Lab-confirmed?]]="Y",LL[[#This Row],[Test Date]],"")</f>
        <v/>
      </c>
      <c r="BE303" s="2" t="str">
        <f>IF(LL[[#This Row],[Lab-confirmed?]]="Y",LL[[#This Row],[Test Date 2]],"")</f>
        <v/>
      </c>
      <c r="BF303" s="139" t="str">
        <f>IF(LL[[#This Row],[Date Reported to Public Health]]&gt;0,LL[[#This Row],[Date Reported to Public Health]],"")</f>
        <v/>
      </c>
      <c r="BG303" s="13" t="str">
        <f t="shared" si="4"/>
        <v/>
      </c>
    </row>
    <row r="304" spans="1:59" x14ac:dyDescent="0.3">
      <c r="A304" s="11">
        <v>300</v>
      </c>
      <c r="B304" s="12"/>
      <c r="C304" s="13"/>
      <c r="D304" s="12"/>
      <c r="E304" s="12"/>
      <c r="F304" s="12"/>
      <c r="G304" s="16"/>
      <c r="H304" s="12"/>
      <c r="I304" s="14"/>
      <c r="J304" s="137"/>
      <c r="K304" s="137"/>
      <c r="L304" s="18"/>
      <c r="M304" s="139"/>
      <c r="N304" s="140"/>
      <c r="O304" s="137"/>
      <c r="P304" s="137"/>
      <c r="Q304" s="15"/>
      <c r="R304" s="12"/>
      <c r="S304" s="12"/>
      <c r="T304" s="12"/>
      <c r="U304" s="14"/>
      <c r="V304" s="15"/>
      <c r="W304" s="12"/>
      <c r="X304" s="12"/>
      <c r="Y304" s="12"/>
      <c r="Z304" s="12"/>
      <c r="AA304" s="12"/>
      <c r="AB304" s="14"/>
      <c r="AC304" s="15"/>
      <c r="AD304" s="12"/>
      <c r="AE304" s="12"/>
      <c r="AF304" s="14"/>
      <c r="AG304" s="18"/>
      <c r="AH304" s="18"/>
      <c r="AI304" s="17"/>
      <c r="AJ304" s="181"/>
      <c r="AK304" s="13"/>
      <c r="AL304" s="181"/>
      <c r="AM304" s="175"/>
      <c r="AN304" s="192"/>
      <c r="AO304" s="13"/>
      <c r="AP304" s="181"/>
      <c r="AQ304" s="175"/>
      <c r="AR304" s="18"/>
      <c r="AS304" s="12"/>
      <c r="AT304" s="12"/>
      <c r="AU304" s="12"/>
      <c r="AV304" s="12"/>
      <c r="AW304" s="137"/>
      <c r="AX304" s="13"/>
      <c r="AY304" s="138"/>
      <c r="AZ304" s="140"/>
      <c r="BA304" s="18"/>
      <c r="BB304" s="18" t="e">
        <f>IF(#REF!&lt;&gt;0,IF(LL[[#This Row],[Date of Birth]]&lt;&gt;0,YEAR(#REF!-LL[[#This Row],[Date of Birth]])-1900,""),"")</f>
        <v>#REF!</v>
      </c>
      <c r="BC304" s="2" t="str">
        <f>IF(LL[[#This Row],[Sx Onset Date]]&gt;0,LL[[#This Row],[Sx Onset Date]],"")</f>
        <v/>
      </c>
      <c r="BD304" s="2" t="str">
        <f>IF(LL[[#This Row],[Lab-confirmed?]]="Y",LL[[#This Row],[Test Date]],"")</f>
        <v/>
      </c>
      <c r="BE304" s="2" t="str">
        <f>IF(LL[[#This Row],[Lab-confirmed?]]="Y",LL[[#This Row],[Test Date 2]],"")</f>
        <v/>
      </c>
      <c r="BF304" s="139" t="str">
        <f>IF(LL[[#This Row],[Date Reported to Public Health]]&gt;0,LL[[#This Row],[Date Reported to Public Health]],"")</f>
        <v/>
      </c>
      <c r="BG304" s="13" t="str">
        <f t="shared" si="4"/>
        <v/>
      </c>
    </row>
    <row r="305" spans="1:59" x14ac:dyDescent="0.3">
      <c r="A305" s="11">
        <v>301</v>
      </c>
      <c r="B305" s="12"/>
      <c r="C305" s="13"/>
      <c r="D305" s="12"/>
      <c r="E305" s="12"/>
      <c r="F305" s="12"/>
      <c r="G305" s="16"/>
      <c r="H305" s="12"/>
      <c r="I305" s="14"/>
      <c r="J305" s="137"/>
      <c r="K305" s="137"/>
      <c r="L305" s="18"/>
      <c r="M305" s="139"/>
      <c r="N305" s="140"/>
      <c r="O305" s="137"/>
      <c r="P305" s="137"/>
      <c r="Q305" s="15"/>
      <c r="R305" s="12"/>
      <c r="S305" s="12"/>
      <c r="T305" s="12"/>
      <c r="U305" s="14"/>
      <c r="V305" s="15"/>
      <c r="W305" s="12"/>
      <c r="X305" s="12"/>
      <c r="Y305" s="12"/>
      <c r="Z305" s="12"/>
      <c r="AA305" s="12"/>
      <c r="AB305" s="14"/>
      <c r="AC305" s="15"/>
      <c r="AD305" s="12"/>
      <c r="AE305" s="12"/>
      <c r="AF305" s="14"/>
      <c r="AG305" s="18"/>
      <c r="AH305" s="18"/>
      <c r="AI305" s="17"/>
      <c r="AJ305" s="181"/>
      <c r="AK305" s="13"/>
      <c r="AL305" s="181"/>
      <c r="AM305" s="175"/>
      <c r="AN305" s="192"/>
      <c r="AO305" s="13"/>
      <c r="AP305" s="181"/>
      <c r="AQ305" s="175"/>
      <c r="AR305" s="18"/>
      <c r="AS305" s="12"/>
      <c r="AT305" s="12"/>
      <c r="AU305" s="12"/>
      <c r="AV305" s="12"/>
      <c r="AW305" s="137"/>
      <c r="AX305" s="13"/>
      <c r="AY305" s="138"/>
      <c r="AZ305" s="140"/>
      <c r="BA305" s="18"/>
      <c r="BB305" s="18" t="e">
        <f>IF(#REF!&lt;&gt;0,IF(LL[[#This Row],[Date of Birth]]&lt;&gt;0,YEAR(#REF!-LL[[#This Row],[Date of Birth]])-1900,""),"")</f>
        <v>#REF!</v>
      </c>
      <c r="BC305" s="2" t="str">
        <f>IF(LL[[#This Row],[Sx Onset Date]]&gt;0,LL[[#This Row],[Sx Onset Date]],"")</f>
        <v/>
      </c>
      <c r="BD305" s="2" t="str">
        <f>IF(LL[[#This Row],[Lab-confirmed?]]="Y",LL[[#This Row],[Test Date]],"")</f>
        <v/>
      </c>
      <c r="BE305" s="2" t="str">
        <f>IF(LL[[#This Row],[Lab-confirmed?]]="Y",LL[[#This Row],[Test Date 2]],"")</f>
        <v/>
      </c>
      <c r="BF305" s="139" t="str">
        <f>IF(LL[[#This Row],[Date Reported to Public Health]]&gt;0,LL[[#This Row],[Date Reported to Public Health]],"")</f>
        <v/>
      </c>
      <c r="BG305" s="13" t="str">
        <f t="shared" si="4"/>
        <v/>
      </c>
    </row>
    <row r="306" spans="1:59" x14ac:dyDescent="0.3">
      <c r="A306" s="11">
        <v>302</v>
      </c>
      <c r="B306" s="12"/>
      <c r="C306" s="13"/>
      <c r="D306" s="12"/>
      <c r="E306" s="12"/>
      <c r="F306" s="12"/>
      <c r="G306" s="16"/>
      <c r="H306" s="12"/>
      <c r="I306" s="14"/>
      <c r="J306" s="137"/>
      <c r="K306" s="137"/>
      <c r="L306" s="18"/>
      <c r="M306" s="139"/>
      <c r="N306" s="140"/>
      <c r="O306" s="137"/>
      <c r="P306" s="137"/>
      <c r="Q306" s="15"/>
      <c r="R306" s="12"/>
      <c r="S306" s="12"/>
      <c r="T306" s="12"/>
      <c r="U306" s="14"/>
      <c r="V306" s="15"/>
      <c r="W306" s="12"/>
      <c r="X306" s="12"/>
      <c r="Y306" s="12"/>
      <c r="Z306" s="12"/>
      <c r="AA306" s="12"/>
      <c r="AB306" s="14"/>
      <c r="AC306" s="15"/>
      <c r="AD306" s="12"/>
      <c r="AE306" s="12"/>
      <c r="AF306" s="14"/>
      <c r="AG306" s="18"/>
      <c r="AH306" s="18"/>
      <c r="AI306" s="17"/>
      <c r="AJ306" s="181"/>
      <c r="AK306" s="13"/>
      <c r="AL306" s="181"/>
      <c r="AM306" s="175"/>
      <c r="AN306" s="192"/>
      <c r="AO306" s="13"/>
      <c r="AP306" s="181"/>
      <c r="AQ306" s="175"/>
      <c r="AR306" s="18"/>
      <c r="AS306" s="12"/>
      <c r="AT306" s="12"/>
      <c r="AU306" s="12"/>
      <c r="AV306" s="12"/>
      <c r="AW306" s="137"/>
      <c r="AX306" s="13"/>
      <c r="AY306" s="138"/>
      <c r="AZ306" s="140"/>
      <c r="BA306" s="18"/>
      <c r="BB306" s="18" t="e">
        <f>IF(#REF!&lt;&gt;0,IF(LL[[#This Row],[Date of Birth]]&lt;&gt;0,YEAR(#REF!-LL[[#This Row],[Date of Birth]])-1900,""),"")</f>
        <v>#REF!</v>
      </c>
      <c r="BC306" s="2" t="str">
        <f>IF(LL[[#This Row],[Sx Onset Date]]&gt;0,LL[[#This Row],[Sx Onset Date]],"")</f>
        <v/>
      </c>
      <c r="BD306" s="2" t="str">
        <f>IF(LL[[#This Row],[Lab-confirmed?]]="Y",LL[[#This Row],[Test Date]],"")</f>
        <v/>
      </c>
      <c r="BE306" s="2" t="str">
        <f>IF(LL[[#This Row],[Lab-confirmed?]]="Y",LL[[#This Row],[Test Date 2]],"")</f>
        <v/>
      </c>
      <c r="BF306" s="139" t="str">
        <f>IF(LL[[#This Row],[Date Reported to Public Health]]&gt;0,LL[[#This Row],[Date Reported to Public Health]],"")</f>
        <v/>
      </c>
      <c r="BG306" s="13" t="str">
        <f t="shared" si="4"/>
        <v/>
      </c>
    </row>
    <row r="307" spans="1:59" x14ac:dyDescent="0.3">
      <c r="A307" s="11">
        <v>303</v>
      </c>
      <c r="B307" s="12"/>
      <c r="C307" s="13"/>
      <c r="D307" s="12"/>
      <c r="E307" s="12"/>
      <c r="F307" s="12"/>
      <c r="G307" s="16"/>
      <c r="H307" s="12"/>
      <c r="I307" s="14"/>
      <c r="J307" s="137"/>
      <c r="K307" s="137"/>
      <c r="L307" s="18"/>
      <c r="M307" s="139"/>
      <c r="N307" s="140"/>
      <c r="O307" s="137"/>
      <c r="P307" s="137"/>
      <c r="Q307" s="15"/>
      <c r="R307" s="12"/>
      <c r="S307" s="12"/>
      <c r="T307" s="12"/>
      <c r="U307" s="14"/>
      <c r="V307" s="15"/>
      <c r="W307" s="12"/>
      <c r="X307" s="12"/>
      <c r="Y307" s="12"/>
      <c r="Z307" s="12"/>
      <c r="AA307" s="12"/>
      <c r="AB307" s="14"/>
      <c r="AC307" s="15"/>
      <c r="AD307" s="12"/>
      <c r="AE307" s="12"/>
      <c r="AF307" s="14"/>
      <c r="AG307" s="18"/>
      <c r="AH307" s="18"/>
      <c r="AI307" s="17"/>
      <c r="AJ307" s="181"/>
      <c r="AK307" s="13"/>
      <c r="AL307" s="181"/>
      <c r="AM307" s="175"/>
      <c r="AN307" s="192"/>
      <c r="AO307" s="13"/>
      <c r="AP307" s="181"/>
      <c r="AQ307" s="175"/>
      <c r="AR307" s="18"/>
      <c r="AS307" s="12"/>
      <c r="AT307" s="12"/>
      <c r="AU307" s="12"/>
      <c r="AV307" s="12"/>
      <c r="AW307" s="137"/>
      <c r="AX307" s="13"/>
      <c r="AY307" s="138"/>
      <c r="AZ307" s="140"/>
      <c r="BA307" s="18"/>
      <c r="BB307" s="18" t="e">
        <f>IF(#REF!&lt;&gt;0,IF(LL[[#This Row],[Date of Birth]]&lt;&gt;0,YEAR(#REF!-LL[[#This Row],[Date of Birth]])-1900,""),"")</f>
        <v>#REF!</v>
      </c>
      <c r="BC307" s="2" t="str">
        <f>IF(LL[[#This Row],[Sx Onset Date]]&gt;0,LL[[#This Row],[Sx Onset Date]],"")</f>
        <v/>
      </c>
      <c r="BD307" s="2" t="str">
        <f>IF(LL[[#This Row],[Lab-confirmed?]]="Y",LL[[#This Row],[Test Date]],"")</f>
        <v/>
      </c>
      <c r="BE307" s="2" t="str">
        <f>IF(LL[[#This Row],[Lab-confirmed?]]="Y",LL[[#This Row],[Test Date 2]],"")</f>
        <v/>
      </c>
      <c r="BF307" s="139" t="str">
        <f>IF(LL[[#This Row],[Date Reported to Public Health]]&gt;0,LL[[#This Row],[Date Reported to Public Health]],"")</f>
        <v/>
      </c>
      <c r="BG307" s="13" t="str">
        <f t="shared" si="4"/>
        <v/>
      </c>
    </row>
    <row r="308" spans="1:59" x14ac:dyDescent="0.3">
      <c r="A308" s="11">
        <v>304</v>
      </c>
      <c r="B308" s="12"/>
      <c r="C308" s="13"/>
      <c r="D308" s="12"/>
      <c r="E308" s="12"/>
      <c r="F308" s="12"/>
      <c r="G308" s="16"/>
      <c r="H308" s="12"/>
      <c r="I308" s="14"/>
      <c r="J308" s="137"/>
      <c r="K308" s="137"/>
      <c r="L308" s="18"/>
      <c r="M308" s="139"/>
      <c r="N308" s="140"/>
      <c r="O308" s="137"/>
      <c r="P308" s="137"/>
      <c r="Q308" s="15"/>
      <c r="R308" s="12"/>
      <c r="S308" s="12"/>
      <c r="T308" s="12"/>
      <c r="U308" s="14"/>
      <c r="V308" s="15"/>
      <c r="W308" s="12"/>
      <c r="X308" s="12"/>
      <c r="Y308" s="12"/>
      <c r="Z308" s="12"/>
      <c r="AA308" s="12"/>
      <c r="AB308" s="14"/>
      <c r="AC308" s="15"/>
      <c r="AD308" s="12"/>
      <c r="AE308" s="12"/>
      <c r="AF308" s="14"/>
      <c r="AG308" s="18"/>
      <c r="AH308" s="18"/>
      <c r="AI308" s="17"/>
      <c r="AJ308" s="181"/>
      <c r="AK308" s="13"/>
      <c r="AL308" s="181"/>
      <c r="AM308" s="175"/>
      <c r="AN308" s="192"/>
      <c r="AO308" s="13"/>
      <c r="AP308" s="181"/>
      <c r="AQ308" s="175"/>
      <c r="AR308" s="18"/>
      <c r="AS308" s="12"/>
      <c r="AT308" s="12"/>
      <c r="AU308" s="12"/>
      <c r="AV308" s="12"/>
      <c r="AW308" s="137"/>
      <c r="AX308" s="13"/>
      <c r="AY308" s="138"/>
      <c r="AZ308" s="140"/>
      <c r="BA308" s="18"/>
      <c r="BB308" s="18" t="e">
        <f>IF(#REF!&lt;&gt;0,IF(LL[[#This Row],[Date of Birth]]&lt;&gt;0,YEAR(#REF!-LL[[#This Row],[Date of Birth]])-1900,""),"")</f>
        <v>#REF!</v>
      </c>
      <c r="BC308" s="2" t="str">
        <f>IF(LL[[#This Row],[Sx Onset Date]]&gt;0,LL[[#This Row],[Sx Onset Date]],"")</f>
        <v/>
      </c>
      <c r="BD308" s="2" t="str">
        <f>IF(LL[[#This Row],[Lab-confirmed?]]="Y",LL[[#This Row],[Test Date]],"")</f>
        <v/>
      </c>
      <c r="BE308" s="2" t="str">
        <f>IF(LL[[#This Row],[Lab-confirmed?]]="Y",LL[[#This Row],[Test Date 2]],"")</f>
        <v/>
      </c>
      <c r="BF308" s="139" t="str">
        <f>IF(LL[[#This Row],[Date Reported to Public Health]]&gt;0,LL[[#This Row],[Date Reported to Public Health]],"")</f>
        <v/>
      </c>
      <c r="BG308" s="13" t="str">
        <f t="shared" si="4"/>
        <v/>
      </c>
    </row>
    <row r="309" spans="1:59" x14ac:dyDescent="0.3">
      <c r="A309" s="11">
        <v>305</v>
      </c>
      <c r="B309" s="12"/>
      <c r="C309" s="13"/>
      <c r="D309" s="12"/>
      <c r="E309" s="12"/>
      <c r="F309" s="12"/>
      <c r="G309" s="16"/>
      <c r="H309" s="12"/>
      <c r="I309" s="14"/>
      <c r="J309" s="137"/>
      <c r="K309" s="137"/>
      <c r="L309" s="18"/>
      <c r="M309" s="139"/>
      <c r="N309" s="140"/>
      <c r="O309" s="137"/>
      <c r="P309" s="137"/>
      <c r="Q309" s="15"/>
      <c r="R309" s="12"/>
      <c r="S309" s="12"/>
      <c r="T309" s="12"/>
      <c r="U309" s="14"/>
      <c r="V309" s="15"/>
      <c r="W309" s="12"/>
      <c r="X309" s="12"/>
      <c r="Y309" s="12"/>
      <c r="Z309" s="12"/>
      <c r="AA309" s="12"/>
      <c r="AB309" s="14"/>
      <c r="AC309" s="15"/>
      <c r="AD309" s="12"/>
      <c r="AE309" s="12"/>
      <c r="AF309" s="14"/>
      <c r="AG309" s="18"/>
      <c r="AH309" s="18"/>
      <c r="AI309" s="17"/>
      <c r="AJ309" s="181"/>
      <c r="AK309" s="13"/>
      <c r="AL309" s="181"/>
      <c r="AM309" s="175"/>
      <c r="AN309" s="192"/>
      <c r="AO309" s="13"/>
      <c r="AP309" s="181"/>
      <c r="AQ309" s="175"/>
      <c r="AR309" s="18"/>
      <c r="AS309" s="12"/>
      <c r="AT309" s="12"/>
      <c r="AU309" s="12"/>
      <c r="AV309" s="12"/>
      <c r="AW309" s="137"/>
      <c r="AX309" s="13"/>
      <c r="AY309" s="138"/>
      <c r="AZ309" s="140"/>
      <c r="BA309" s="18"/>
      <c r="BB309" s="18" t="e">
        <f>IF(#REF!&lt;&gt;0,IF(LL[[#This Row],[Date of Birth]]&lt;&gt;0,YEAR(#REF!-LL[[#This Row],[Date of Birth]])-1900,""),"")</f>
        <v>#REF!</v>
      </c>
      <c r="BC309" s="2" t="str">
        <f>IF(LL[[#This Row],[Sx Onset Date]]&gt;0,LL[[#This Row],[Sx Onset Date]],"")</f>
        <v/>
      </c>
      <c r="BD309" s="2" t="str">
        <f>IF(LL[[#This Row],[Lab-confirmed?]]="Y",LL[[#This Row],[Test Date]],"")</f>
        <v/>
      </c>
      <c r="BE309" s="2" t="str">
        <f>IF(LL[[#This Row],[Lab-confirmed?]]="Y",LL[[#This Row],[Test Date 2]],"")</f>
        <v/>
      </c>
      <c r="BF309" s="139" t="str">
        <f>IF(LL[[#This Row],[Date Reported to Public Health]]&gt;0,LL[[#This Row],[Date Reported to Public Health]],"")</f>
        <v/>
      </c>
      <c r="BG309" s="13" t="str">
        <f t="shared" si="4"/>
        <v/>
      </c>
    </row>
    <row r="310" spans="1:59" x14ac:dyDescent="0.3">
      <c r="A310" s="11">
        <v>306</v>
      </c>
      <c r="B310" s="12"/>
      <c r="C310" s="13"/>
      <c r="D310" s="12"/>
      <c r="E310" s="12"/>
      <c r="F310" s="12"/>
      <c r="G310" s="16"/>
      <c r="H310" s="12"/>
      <c r="I310" s="14"/>
      <c r="J310" s="137"/>
      <c r="K310" s="137"/>
      <c r="L310" s="18"/>
      <c r="M310" s="139"/>
      <c r="N310" s="140"/>
      <c r="O310" s="137"/>
      <c r="P310" s="137"/>
      <c r="Q310" s="15"/>
      <c r="R310" s="12"/>
      <c r="S310" s="12"/>
      <c r="T310" s="12"/>
      <c r="U310" s="14"/>
      <c r="V310" s="15"/>
      <c r="W310" s="12"/>
      <c r="X310" s="12"/>
      <c r="Y310" s="12"/>
      <c r="Z310" s="12"/>
      <c r="AA310" s="12"/>
      <c r="AB310" s="14"/>
      <c r="AC310" s="15"/>
      <c r="AD310" s="12"/>
      <c r="AE310" s="12"/>
      <c r="AF310" s="14"/>
      <c r="AG310" s="18"/>
      <c r="AH310" s="18"/>
      <c r="AI310" s="17"/>
      <c r="AJ310" s="181"/>
      <c r="AK310" s="13"/>
      <c r="AL310" s="181"/>
      <c r="AM310" s="175"/>
      <c r="AN310" s="192"/>
      <c r="AO310" s="13"/>
      <c r="AP310" s="181"/>
      <c r="AQ310" s="175"/>
      <c r="AR310" s="18"/>
      <c r="AS310" s="12"/>
      <c r="AT310" s="12"/>
      <c r="AU310" s="12"/>
      <c r="AV310" s="12"/>
      <c r="AW310" s="137"/>
      <c r="AX310" s="13"/>
      <c r="AY310" s="138"/>
      <c r="AZ310" s="140"/>
      <c r="BA310" s="18"/>
      <c r="BB310" s="18" t="e">
        <f>IF(#REF!&lt;&gt;0,IF(LL[[#This Row],[Date of Birth]]&lt;&gt;0,YEAR(#REF!-LL[[#This Row],[Date of Birth]])-1900,""),"")</f>
        <v>#REF!</v>
      </c>
      <c r="BC310" s="2" t="str">
        <f>IF(LL[[#This Row],[Sx Onset Date]]&gt;0,LL[[#This Row],[Sx Onset Date]],"")</f>
        <v/>
      </c>
      <c r="BD310" s="2" t="str">
        <f>IF(LL[[#This Row],[Lab-confirmed?]]="Y",LL[[#This Row],[Test Date]],"")</f>
        <v/>
      </c>
      <c r="BE310" s="2" t="str">
        <f>IF(LL[[#This Row],[Lab-confirmed?]]="Y",LL[[#This Row],[Test Date 2]],"")</f>
        <v/>
      </c>
      <c r="BF310" s="139" t="str">
        <f>IF(LL[[#This Row],[Date Reported to Public Health]]&gt;0,LL[[#This Row],[Date Reported to Public Health]],"")</f>
        <v/>
      </c>
      <c r="BG310" s="13" t="str">
        <f t="shared" si="4"/>
        <v/>
      </c>
    </row>
    <row r="311" spans="1:59" x14ac:dyDescent="0.3">
      <c r="A311" s="11">
        <v>307</v>
      </c>
      <c r="B311" s="12"/>
      <c r="C311" s="13"/>
      <c r="D311" s="12"/>
      <c r="E311" s="12"/>
      <c r="F311" s="12"/>
      <c r="G311" s="16"/>
      <c r="H311" s="12"/>
      <c r="I311" s="14"/>
      <c r="J311" s="137"/>
      <c r="K311" s="137"/>
      <c r="L311" s="18"/>
      <c r="M311" s="139"/>
      <c r="N311" s="140"/>
      <c r="O311" s="137"/>
      <c r="P311" s="137"/>
      <c r="Q311" s="15"/>
      <c r="R311" s="12"/>
      <c r="S311" s="12"/>
      <c r="T311" s="12"/>
      <c r="U311" s="14"/>
      <c r="V311" s="15"/>
      <c r="W311" s="12"/>
      <c r="X311" s="12"/>
      <c r="Y311" s="12"/>
      <c r="Z311" s="12"/>
      <c r="AA311" s="12"/>
      <c r="AB311" s="14"/>
      <c r="AC311" s="15"/>
      <c r="AD311" s="12"/>
      <c r="AE311" s="12"/>
      <c r="AF311" s="14"/>
      <c r="AG311" s="18"/>
      <c r="AH311" s="18"/>
      <c r="AI311" s="17"/>
      <c r="AJ311" s="181"/>
      <c r="AK311" s="13"/>
      <c r="AL311" s="181"/>
      <c r="AM311" s="175"/>
      <c r="AN311" s="192"/>
      <c r="AO311" s="13"/>
      <c r="AP311" s="181"/>
      <c r="AQ311" s="175"/>
      <c r="AR311" s="18"/>
      <c r="AS311" s="12"/>
      <c r="AT311" s="12"/>
      <c r="AU311" s="12"/>
      <c r="AV311" s="12"/>
      <c r="AW311" s="137"/>
      <c r="AX311" s="13"/>
      <c r="AY311" s="138"/>
      <c r="AZ311" s="140"/>
      <c r="BA311" s="18"/>
      <c r="BB311" s="18" t="e">
        <f>IF(#REF!&lt;&gt;0,IF(LL[[#This Row],[Date of Birth]]&lt;&gt;0,YEAR(#REF!-LL[[#This Row],[Date of Birth]])-1900,""),"")</f>
        <v>#REF!</v>
      </c>
      <c r="BC311" s="2" t="str">
        <f>IF(LL[[#This Row],[Sx Onset Date]]&gt;0,LL[[#This Row],[Sx Onset Date]],"")</f>
        <v/>
      </c>
      <c r="BD311" s="2" t="str">
        <f>IF(LL[[#This Row],[Lab-confirmed?]]="Y",LL[[#This Row],[Test Date]],"")</f>
        <v/>
      </c>
      <c r="BE311" s="2" t="str">
        <f>IF(LL[[#This Row],[Lab-confirmed?]]="Y",LL[[#This Row],[Test Date 2]],"")</f>
        <v/>
      </c>
      <c r="BF311" s="139" t="str">
        <f>IF(LL[[#This Row],[Date Reported to Public Health]]&gt;0,LL[[#This Row],[Date Reported to Public Health]],"")</f>
        <v/>
      </c>
      <c r="BG311" s="13" t="str">
        <f t="shared" si="4"/>
        <v/>
      </c>
    </row>
    <row r="312" spans="1:59" x14ac:dyDescent="0.3">
      <c r="A312" s="11">
        <v>308</v>
      </c>
      <c r="B312" s="12"/>
      <c r="C312" s="13"/>
      <c r="D312" s="12"/>
      <c r="E312" s="12"/>
      <c r="F312" s="12"/>
      <c r="G312" s="16"/>
      <c r="H312" s="12"/>
      <c r="I312" s="14"/>
      <c r="J312" s="137"/>
      <c r="K312" s="137"/>
      <c r="L312" s="18"/>
      <c r="M312" s="139"/>
      <c r="N312" s="140"/>
      <c r="O312" s="137"/>
      <c r="P312" s="137"/>
      <c r="Q312" s="15"/>
      <c r="R312" s="12"/>
      <c r="S312" s="12"/>
      <c r="T312" s="12"/>
      <c r="U312" s="14"/>
      <c r="V312" s="15"/>
      <c r="W312" s="12"/>
      <c r="X312" s="12"/>
      <c r="Y312" s="12"/>
      <c r="Z312" s="12"/>
      <c r="AA312" s="12"/>
      <c r="AB312" s="14"/>
      <c r="AC312" s="15"/>
      <c r="AD312" s="12"/>
      <c r="AE312" s="12"/>
      <c r="AF312" s="14"/>
      <c r="AG312" s="18"/>
      <c r="AH312" s="18"/>
      <c r="AI312" s="17"/>
      <c r="AJ312" s="181"/>
      <c r="AK312" s="13"/>
      <c r="AL312" s="181"/>
      <c r="AM312" s="175"/>
      <c r="AN312" s="192"/>
      <c r="AO312" s="13"/>
      <c r="AP312" s="181"/>
      <c r="AQ312" s="175"/>
      <c r="AR312" s="18"/>
      <c r="AS312" s="12"/>
      <c r="AT312" s="12"/>
      <c r="AU312" s="12"/>
      <c r="AV312" s="12"/>
      <c r="AW312" s="137"/>
      <c r="AX312" s="13"/>
      <c r="AY312" s="138"/>
      <c r="AZ312" s="140"/>
      <c r="BA312" s="18"/>
      <c r="BB312" s="18" t="e">
        <f>IF(#REF!&lt;&gt;0,IF(LL[[#This Row],[Date of Birth]]&lt;&gt;0,YEAR(#REF!-LL[[#This Row],[Date of Birth]])-1900,""),"")</f>
        <v>#REF!</v>
      </c>
      <c r="BC312" s="2" t="str">
        <f>IF(LL[[#This Row],[Sx Onset Date]]&gt;0,LL[[#This Row],[Sx Onset Date]],"")</f>
        <v/>
      </c>
      <c r="BD312" s="2" t="str">
        <f>IF(LL[[#This Row],[Lab-confirmed?]]="Y",LL[[#This Row],[Test Date]],"")</f>
        <v/>
      </c>
      <c r="BE312" s="2" t="str">
        <f>IF(LL[[#This Row],[Lab-confirmed?]]="Y",LL[[#This Row],[Test Date 2]],"")</f>
        <v/>
      </c>
      <c r="BF312" s="139" t="str">
        <f>IF(LL[[#This Row],[Date Reported to Public Health]]&gt;0,LL[[#This Row],[Date Reported to Public Health]],"")</f>
        <v/>
      </c>
      <c r="BG312" s="13" t="str">
        <f t="shared" si="4"/>
        <v/>
      </c>
    </row>
    <row r="313" spans="1:59" x14ac:dyDescent="0.3">
      <c r="A313" s="11">
        <v>309</v>
      </c>
      <c r="B313" s="12"/>
      <c r="C313" s="13"/>
      <c r="D313" s="12"/>
      <c r="E313" s="12"/>
      <c r="F313" s="12"/>
      <c r="G313" s="16"/>
      <c r="H313" s="12"/>
      <c r="I313" s="14"/>
      <c r="J313" s="137"/>
      <c r="K313" s="137"/>
      <c r="L313" s="18"/>
      <c r="M313" s="139"/>
      <c r="N313" s="140"/>
      <c r="O313" s="137"/>
      <c r="P313" s="137"/>
      <c r="Q313" s="15"/>
      <c r="R313" s="12"/>
      <c r="S313" s="12"/>
      <c r="T313" s="12"/>
      <c r="U313" s="14"/>
      <c r="V313" s="15"/>
      <c r="W313" s="12"/>
      <c r="X313" s="12"/>
      <c r="Y313" s="12"/>
      <c r="Z313" s="12"/>
      <c r="AA313" s="12"/>
      <c r="AB313" s="14"/>
      <c r="AC313" s="15"/>
      <c r="AD313" s="12"/>
      <c r="AE313" s="12"/>
      <c r="AF313" s="14"/>
      <c r="AG313" s="18"/>
      <c r="AH313" s="18"/>
      <c r="AI313" s="17"/>
      <c r="AJ313" s="181"/>
      <c r="AK313" s="13"/>
      <c r="AL313" s="181"/>
      <c r="AM313" s="175"/>
      <c r="AN313" s="192"/>
      <c r="AO313" s="13"/>
      <c r="AP313" s="181"/>
      <c r="AQ313" s="175"/>
      <c r="AR313" s="18"/>
      <c r="AS313" s="12"/>
      <c r="AT313" s="12"/>
      <c r="AU313" s="12"/>
      <c r="AV313" s="12"/>
      <c r="AW313" s="137"/>
      <c r="AX313" s="13"/>
      <c r="AY313" s="138"/>
      <c r="AZ313" s="140"/>
      <c r="BA313" s="18"/>
      <c r="BB313" s="18" t="e">
        <f>IF(#REF!&lt;&gt;0,IF(LL[[#This Row],[Date of Birth]]&lt;&gt;0,YEAR(#REF!-LL[[#This Row],[Date of Birth]])-1900,""),"")</f>
        <v>#REF!</v>
      </c>
      <c r="BC313" s="2" t="str">
        <f>IF(LL[[#This Row],[Sx Onset Date]]&gt;0,LL[[#This Row],[Sx Onset Date]],"")</f>
        <v/>
      </c>
      <c r="BD313" s="2" t="str">
        <f>IF(LL[[#This Row],[Lab-confirmed?]]="Y",LL[[#This Row],[Test Date]],"")</f>
        <v/>
      </c>
      <c r="BE313" s="2" t="str">
        <f>IF(LL[[#This Row],[Lab-confirmed?]]="Y",LL[[#This Row],[Test Date 2]],"")</f>
        <v/>
      </c>
      <c r="BF313" s="139" t="str">
        <f>IF(LL[[#This Row],[Date Reported to Public Health]]&gt;0,LL[[#This Row],[Date Reported to Public Health]],"")</f>
        <v/>
      </c>
      <c r="BG313" s="13" t="str">
        <f t="shared" si="4"/>
        <v/>
      </c>
    </row>
    <row r="314" spans="1:59" x14ac:dyDescent="0.3">
      <c r="A314" s="11">
        <v>310</v>
      </c>
      <c r="B314" s="12"/>
      <c r="C314" s="13"/>
      <c r="D314" s="12"/>
      <c r="E314" s="12"/>
      <c r="F314" s="12"/>
      <c r="G314" s="16"/>
      <c r="H314" s="12"/>
      <c r="I314" s="14"/>
      <c r="J314" s="137"/>
      <c r="K314" s="137"/>
      <c r="L314" s="18"/>
      <c r="M314" s="139"/>
      <c r="N314" s="140"/>
      <c r="O314" s="137"/>
      <c r="P314" s="137"/>
      <c r="Q314" s="15"/>
      <c r="R314" s="12"/>
      <c r="S314" s="12"/>
      <c r="T314" s="12"/>
      <c r="U314" s="14"/>
      <c r="V314" s="15"/>
      <c r="W314" s="12"/>
      <c r="X314" s="12"/>
      <c r="Y314" s="12"/>
      <c r="Z314" s="12"/>
      <c r="AA314" s="12"/>
      <c r="AB314" s="14"/>
      <c r="AC314" s="15"/>
      <c r="AD314" s="12"/>
      <c r="AE314" s="12"/>
      <c r="AF314" s="14"/>
      <c r="AG314" s="18"/>
      <c r="AH314" s="18"/>
      <c r="AI314" s="17"/>
      <c r="AJ314" s="181"/>
      <c r="AK314" s="13"/>
      <c r="AL314" s="181"/>
      <c r="AM314" s="175"/>
      <c r="AN314" s="192"/>
      <c r="AO314" s="13"/>
      <c r="AP314" s="181"/>
      <c r="AQ314" s="175"/>
      <c r="AR314" s="18"/>
      <c r="AS314" s="12"/>
      <c r="AT314" s="12"/>
      <c r="AU314" s="12"/>
      <c r="AV314" s="12"/>
      <c r="AW314" s="137"/>
      <c r="AX314" s="13"/>
      <c r="AY314" s="138"/>
      <c r="AZ314" s="140"/>
      <c r="BA314" s="18"/>
      <c r="BB314" s="18" t="e">
        <f>IF(#REF!&lt;&gt;0,IF(LL[[#This Row],[Date of Birth]]&lt;&gt;0,YEAR(#REF!-LL[[#This Row],[Date of Birth]])-1900,""),"")</f>
        <v>#REF!</v>
      </c>
      <c r="BC314" s="2" t="str">
        <f>IF(LL[[#This Row],[Sx Onset Date]]&gt;0,LL[[#This Row],[Sx Onset Date]],"")</f>
        <v/>
      </c>
      <c r="BD314" s="2" t="str">
        <f>IF(LL[[#This Row],[Lab-confirmed?]]="Y",LL[[#This Row],[Test Date]],"")</f>
        <v/>
      </c>
      <c r="BE314" s="2" t="str">
        <f>IF(LL[[#This Row],[Lab-confirmed?]]="Y",LL[[#This Row],[Test Date 2]],"")</f>
        <v/>
      </c>
      <c r="BF314" s="139" t="str">
        <f>IF(LL[[#This Row],[Date Reported to Public Health]]&gt;0,LL[[#This Row],[Date Reported to Public Health]],"")</f>
        <v/>
      </c>
      <c r="BG314" s="13" t="str">
        <f t="shared" si="4"/>
        <v/>
      </c>
    </row>
    <row r="315" spans="1:59" x14ac:dyDescent="0.3">
      <c r="A315" s="11">
        <v>311</v>
      </c>
      <c r="B315" s="12"/>
      <c r="C315" s="13"/>
      <c r="D315" s="12"/>
      <c r="E315" s="12"/>
      <c r="F315" s="12"/>
      <c r="G315" s="16"/>
      <c r="H315" s="12"/>
      <c r="I315" s="14"/>
      <c r="J315" s="137"/>
      <c r="K315" s="137"/>
      <c r="L315" s="18"/>
      <c r="M315" s="139"/>
      <c r="N315" s="140"/>
      <c r="O315" s="137"/>
      <c r="P315" s="137"/>
      <c r="Q315" s="15"/>
      <c r="R315" s="12"/>
      <c r="S315" s="12"/>
      <c r="T315" s="12"/>
      <c r="U315" s="14"/>
      <c r="V315" s="15"/>
      <c r="W315" s="12"/>
      <c r="X315" s="12"/>
      <c r="Y315" s="12"/>
      <c r="Z315" s="12"/>
      <c r="AA315" s="12"/>
      <c r="AB315" s="14"/>
      <c r="AC315" s="15"/>
      <c r="AD315" s="12"/>
      <c r="AE315" s="12"/>
      <c r="AF315" s="14"/>
      <c r="AG315" s="18"/>
      <c r="AH315" s="18"/>
      <c r="AI315" s="17"/>
      <c r="AJ315" s="181"/>
      <c r="AK315" s="13"/>
      <c r="AL315" s="181"/>
      <c r="AM315" s="175"/>
      <c r="AN315" s="192"/>
      <c r="AO315" s="13"/>
      <c r="AP315" s="181"/>
      <c r="AQ315" s="175"/>
      <c r="AR315" s="18"/>
      <c r="AS315" s="12"/>
      <c r="AT315" s="12"/>
      <c r="AU315" s="12"/>
      <c r="AV315" s="12"/>
      <c r="AW315" s="137"/>
      <c r="AX315" s="13"/>
      <c r="AY315" s="138"/>
      <c r="AZ315" s="140"/>
      <c r="BA315" s="18"/>
      <c r="BB315" s="18" t="e">
        <f>IF(#REF!&lt;&gt;0,IF(LL[[#This Row],[Date of Birth]]&lt;&gt;0,YEAR(#REF!-LL[[#This Row],[Date of Birth]])-1900,""),"")</f>
        <v>#REF!</v>
      </c>
      <c r="BC315" s="2" t="str">
        <f>IF(LL[[#This Row],[Sx Onset Date]]&gt;0,LL[[#This Row],[Sx Onset Date]],"")</f>
        <v/>
      </c>
      <c r="BD315" s="2" t="str">
        <f>IF(LL[[#This Row],[Lab-confirmed?]]="Y",LL[[#This Row],[Test Date]],"")</f>
        <v/>
      </c>
      <c r="BE315" s="2" t="str">
        <f>IF(LL[[#This Row],[Lab-confirmed?]]="Y",LL[[#This Row],[Test Date 2]],"")</f>
        <v/>
      </c>
      <c r="BF315" s="139" t="str">
        <f>IF(LL[[#This Row],[Date Reported to Public Health]]&gt;0,LL[[#This Row],[Date Reported to Public Health]],"")</f>
        <v/>
      </c>
      <c r="BG315" s="13" t="str">
        <f t="shared" si="4"/>
        <v/>
      </c>
    </row>
    <row r="316" spans="1:59" x14ac:dyDescent="0.3">
      <c r="A316" s="11">
        <v>312</v>
      </c>
      <c r="B316" s="12"/>
      <c r="C316" s="13"/>
      <c r="D316" s="12"/>
      <c r="E316" s="12"/>
      <c r="F316" s="12"/>
      <c r="G316" s="16"/>
      <c r="H316" s="12"/>
      <c r="I316" s="14"/>
      <c r="J316" s="137"/>
      <c r="K316" s="137"/>
      <c r="L316" s="18"/>
      <c r="M316" s="139"/>
      <c r="N316" s="140"/>
      <c r="O316" s="137"/>
      <c r="P316" s="137"/>
      <c r="Q316" s="15"/>
      <c r="R316" s="12"/>
      <c r="S316" s="12"/>
      <c r="T316" s="12"/>
      <c r="U316" s="14"/>
      <c r="V316" s="15"/>
      <c r="W316" s="12"/>
      <c r="X316" s="12"/>
      <c r="Y316" s="12"/>
      <c r="Z316" s="12"/>
      <c r="AA316" s="12"/>
      <c r="AB316" s="14"/>
      <c r="AC316" s="15"/>
      <c r="AD316" s="12"/>
      <c r="AE316" s="12"/>
      <c r="AF316" s="14"/>
      <c r="AG316" s="18"/>
      <c r="AH316" s="18"/>
      <c r="AI316" s="17"/>
      <c r="AJ316" s="181"/>
      <c r="AK316" s="13"/>
      <c r="AL316" s="181"/>
      <c r="AM316" s="175"/>
      <c r="AN316" s="192"/>
      <c r="AO316" s="13"/>
      <c r="AP316" s="181"/>
      <c r="AQ316" s="175"/>
      <c r="AR316" s="18"/>
      <c r="AS316" s="12"/>
      <c r="AT316" s="12"/>
      <c r="AU316" s="12"/>
      <c r="AV316" s="12"/>
      <c r="AW316" s="137"/>
      <c r="AX316" s="13"/>
      <c r="AY316" s="138"/>
      <c r="AZ316" s="140"/>
      <c r="BA316" s="18"/>
      <c r="BB316" s="18" t="e">
        <f>IF(#REF!&lt;&gt;0,IF(LL[[#This Row],[Date of Birth]]&lt;&gt;0,YEAR(#REF!-LL[[#This Row],[Date of Birth]])-1900,""),"")</f>
        <v>#REF!</v>
      </c>
      <c r="BC316" s="2" t="str">
        <f>IF(LL[[#This Row],[Sx Onset Date]]&gt;0,LL[[#This Row],[Sx Onset Date]],"")</f>
        <v/>
      </c>
      <c r="BD316" s="2" t="str">
        <f>IF(LL[[#This Row],[Lab-confirmed?]]="Y",LL[[#This Row],[Test Date]],"")</f>
        <v/>
      </c>
      <c r="BE316" s="2" t="str">
        <f>IF(LL[[#This Row],[Lab-confirmed?]]="Y",LL[[#This Row],[Test Date 2]],"")</f>
        <v/>
      </c>
      <c r="BF316" s="139" t="str">
        <f>IF(LL[[#This Row],[Date Reported to Public Health]]&gt;0,LL[[#This Row],[Date Reported to Public Health]],"")</f>
        <v/>
      </c>
      <c r="BG316" s="13" t="str">
        <f t="shared" si="4"/>
        <v/>
      </c>
    </row>
    <row r="317" spans="1:59" x14ac:dyDescent="0.3">
      <c r="A317" s="11">
        <v>313</v>
      </c>
      <c r="B317" s="12"/>
      <c r="C317" s="13"/>
      <c r="D317" s="12"/>
      <c r="E317" s="12"/>
      <c r="F317" s="12"/>
      <c r="G317" s="16"/>
      <c r="H317" s="12"/>
      <c r="I317" s="14"/>
      <c r="J317" s="137"/>
      <c r="K317" s="137"/>
      <c r="L317" s="18"/>
      <c r="M317" s="139"/>
      <c r="N317" s="140"/>
      <c r="O317" s="137"/>
      <c r="P317" s="137"/>
      <c r="Q317" s="15"/>
      <c r="R317" s="12"/>
      <c r="S317" s="12"/>
      <c r="T317" s="12"/>
      <c r="U317" s="14"/>
      <c r="V317" s="15"/>
      <c r="W317" s="12"/>
      <c r="X317" s="12"/>
      <c r="Y317" s="12"/>
      <c r="Z317" s="12"/>
      <c r="AA317" s="12"/>
      <c r="AB317" s="14"/>
      <c r="AC317" s="15"/>
      <c r="AD317" s="12"/>
      <c r="AE317" s="12"/>
      <c r="AF317" s="14"/>
      <c r="AG317" s="18"/>
      <c r="AH317" s="18"/>
      <c r="AI317" s="17"/>
      <c r="AJ317" s="181"/>
      <c r="AK317" s="13"/>
      <c r="AL317" s="181"/>
      <c r="AM317" s="175"/>
      <c r="AN317" s="192"/>
      <c r="AO317" s="13"/>
      <c r="AP317" s="181"/>
      <c r="AQ317" s="175"/>
      <c r="AR317" s="18"/>
      <c r="AS317" s="12"/>
      <c r="AT317" s="12"/>
      <c r="AU317" s="12"/>
      <c r="AV317" s="12"/>
      <c r="AW317" s="137"/>
      <c r="AX317" s="13"/>
      <c r="AY317" s="138"/>
      <c r="AZ317" s="140"/>
      <c r="BA317" s="18"/>
      <c r="BB317" s="18" t="e">
        <f>IF(#REF!&lt;&gt;0,IF(LL[[#This Row],[Date of Birth]]&lt;&gt;0,YEAR(#REF!-LL[[#This Row],[Date of Birth]])-1900,""),"")</f>
        <v>#REF!</v>
      </c>
      <c r="BC317" s="2" t="str">
        <f>IF(LL[[#This Row],[Sx Onset Date]]&gt;0,LL[[#This Row],[Sx Onset Date]],"")</f>
        <v/>
      </c>
      <c r="BD317" s="2" t="str">
        <f>IF(LL[[#This Row],[Lab-confirmed?]]="Y",LL[[#This Row],[Test Date]],"")</f>
        <v/>
      </c>
      <c r="BE317" s="2" t="str">
        <f>IF(LL[[#This Row],[Lab-confirmed?]]="Y",LL[[#This Row],[Test Date 2]],"")</f>
        <v/>
      </c>
      <c r="BF317" s="139" t="str">
        <f>IF(LL[[#This Row],[Date Reported to Public Health]]&gt;0,LL[[#This Row],[Date Reported to Public Health]],"")</f>
        <v/>
      </c>
      <c r="BG317" s="13" t="str">
        <f t="shared" si="4"/>
        <v/>
      </c>
    </row>
    <row r="318" spans="1:59" x14ac:dyDescent="0.3">
      <c r="A318" s="11">
        <v>314</v>
      </c>
      <c r="B318" s="12"/>
      <c r="C318" s="13"/>
      <c r="D318" s="12"/>
      <c r="E318" s="12"/>
      <c r="F318" s="12"/>
      <c r="G318" s="16"/>
      <c r="H318" s="12"/>
      <c r="I318" s="14"/>
      <c r="J318" s="137"/>
      <c r="K318" s="137"/>
      <c r="L318" s="18"/>
      <c r="M318" s="139"/>
      <c r="N318" s="140"/>
      <c r="O318" s="137"/>
      <c r="P318" s="137"/>
      <c r="Q318" s="15"/>
      <c r="R318" s="12"/>
      <c r="S318" s="12"/>
      <c r="T318" s="12"/>
      <c r="U318" s="14"/>
      <c r="V318" s="15"/>
      <c r="W318" s="12"/>
      <c r="X318" s="12"/>
      <c r="Y318" s="12"/>
      <c r="Z318" s="12"/>
      <c r="AA318" s="12"/>
      <c r="AB318" s="14"/>
      <c r="AC318" s="15"/>
      <c r="AD318" s="12"/>
      <c r="AE318" s="12"/>
      <c r="AF318" s="14"/>
      <c r="AG318" s="18"/>
      <c r="AH318" s="18"/>
      <c r="AI318" s="17"/>
      <c r="AJ318" s="181"/>
      <c r="AK318" s="13"/>
      <c r="AL318" s="181"/>
      <c r="AM318" s="175"/>
      <c r="AN318" s="192"/>
      <c r="AO318" s="13"/>
      <c r="AP318" s="181"/>
      <c r="AQ318" s="175"/>
      <c r="AR318" s="18"/>
      <c r="AS318" s="12"/>
      <c r="AT318" s="12"/>
      <c r="AU318" s="12"/>
      <c r="AV318" s="12"/>
      <c r="AW318" s="137"/>
      <c r="AX318" s="13"/>
      <c r="AY318" s="138"/>
      <c r="AZ318" s="140"/>
      <c r="BA318" s="18"/>
      <c r="BB318" s="18" t="e">
        <f>IF(#REF!&lt;&gt;0,IF(LL[[#This Row],[Date of Birth]]&lt;&gt;0,YEAR(#REF!-LL[[#This Row],[Date of Birth]])-1900,""),"")</f>
        <v>#REF!</v>
      </c>
      <c r="BC318" s="2" t="str">
        <f>IF(LL[[#This Row],[Sx Onset Date]]&gt;0,LL[[#This Row],[Sx Onset Date]],"")</f>
        <v/>
      </c>
      <c r="BD318" s="2" t="str">
        <f>IF(LL[[#This Row],[Lab-confirmed?]]="Y",LL[[#This Row],[Test Date]],"")</f>
        <v/>
      </c>
      <c r="BE318" s="2" t="str">
        <f>IF(LL[[#This Row],[Lab-confirmed?]]="Y",LL[[#This Row],[Test Date 2]],"")</f>
        <v/>
      </c>
      <c r="BF318" s="139" t="str">
        <f>IF(LL[[#This Row],[Date Reported to Public Health]]&gt;0,LL[[#This Row],[Date Reported to Public Health]],"")</f>
        <v/>
      </c>
      <c r="BG318" s="13" t="str">
        <f t="shared" si="4"/>
        <v/>
      </c>
    </row>
    <row r="319" spans="1:59" x14ac:dyDescent="0.3">
      <c r="A319" s="11">
        <v>315</v>
      </c>
      <c r="B319" s="12"/>
      <c r="C319" s="13"/>
      <c r="D319" s="12"/>
      <c r="E319" s="12"/>
      <c r="F319" s="12"/>
      <c r="G319" s="16"/>
      <c r="H319" s="12"/>
      <c r="I319" s="14"/>
      <c r="J319" s="137"/>
      <c r="K319" s="137"/>
      <c r="L319" s="18"/>
      <c r="M319" s="139"/>
      <c r="N319" s="140"/>
      <c r="O319" s="137"/>
      <c r="P319" s="137"/>
      <c r="Q319" s="15"/>
      <c r="R319" s="12"/>
      <c r="S319" s="12"/>
      <c r="T319" s="12"/>
      <c r="U319" s="14"/>
      <c r="V319" s="15"/>
      <c r="W319" s="12"/>
      <c r="X319" s="12"/>
      <c r="Y319" s="12"/>
      <c r="Z319" s="12"/>
      <c r="AA319" s="12"/>
      <c r="AB319" s="14"/>
      <c r="AC319" s="15"/>
      <c r="AD319" s="12"/>
      <c r="AE319" s="12"/>
      <c r="AF319" s="14"/>
      <c r="AG319" s="18"/>
      <c r="AH319" s="18"/>
      <c r="AI319" s="17"/>
      <c r="AJ319" s="181"/>
      <c r="AK319" s="13"/>
      <c r="AL319" s="181"/>
      <c r="AM319" s="175"/>
      <c r="AN319" s="192"/>
      <c r="AO319" s="13"/>
      <c r="AP319" s="181"/>
      <c r="AQ319" s="175"/>
      <c r="AR319" s="18"/>
      <c r="AS319" s="12"/>
      <c r="AT319" s="12"/>
      <c r="AU319" s="12"/>
      <c r="AV319" s="12"/>
      <c r="AW319" s="137"/>
      <c r="AX319" s="13"/>
      <c r="AY319" s="138"/>
      <c r="AZ319" s="140"/>
      <c r="BA319" s="18"/>
      <c r="BB319" s="18" t="e">
        <f>IF(#REF!&lt;&gt;0,IF(LL[[#This Row],[Date of Birth]]&lt;&gt;0,YEAR(#REF!-LL[[#This Row],[Date of Birth]])-1900,""),"")</f>
        <v>#REF!</v>
      </c>
      <c r="BC319" s="2" t="str">
        <f>IF(LL[[#This Row],[Sx Onset Date]]&gt;0,LL[[#This Row],[Sx Onset Date]],"")</f>
        <v/>
      </c>
      <c r="BD319" s="2" t="str">
        <f>IF(LL[[#This Row],[Lab-confirmed?]]="Y",LL[[#This Row],[Test Date]],"")</f>
        <v/>
      </c>
      <c r="BE319" s="2" t="str">
        <f>IF(LL[[#This Row],[Lab-confirmed?]]="Y",LL[[#This Row],[Test Date 2]],"")</f>
        <v/>
      </c>
      <c r="BF319" s="139" t="str">
        <f>IF(LL[[#This Row],[Date Reported to Public Health]]&gt;0,LL[[#This Row],[Date Reported to Public Health]],"")</f>
        <v/>
      </c>
      <c r="BG319" s="13" t="str">
        <f t="shared" si="4"/>
        <v/>
      </c>
    </row>
    <row r="320" spans="1:59" x14ac:dyDescent="0.3">
      <c r="A320" s="11">
        <v>316</v>
      </c>
      <c r="B320" s="12"/>
      <c r="C320" s="13"/>
      <c r="D320" s="12"/>
      <c r="E320" s="12"/>
      <c r="F320" s="12"/>
      <c r="G320" s="16"/>
      <c r="H320" s="12"/>
      <c r="I320" s="14"/>
      <c r="J320" s="137"/>
      <c r="K320" s="137"/>
      <c r="L320" s="18"/>
      <c r="M320" s="139"/>
      <c r="N320" s="140"/>
      <c r="O320" s="137"/>
      <c r="P320" s="137"/>
      <c r="Q320" s="15"/>
      <c r="R320" s="12"/>
      <c r="S320" s="12"/>
      <c r="T320" s="12"/>
      <c r="U320" s="14"/>
      <c r="V320" s="15"/>
      <c r="W320" s="12"/>
      <c r="X320" s="12"/>
      <c r="Y320" s="12"/>
      <c r="Z320" s="12"/>
      <c r="AA320" s="12"/>
      <c r="AB320" s="14"/>
      <c r="AC320" s="15"/>
      <c r="AD320" s="12"/>
      <c r="AE320" s="12"/>
      <c r="AF320" s="14"/>
      <c r="AG320" s="18"/>
      <c r="AH320" s="18"/>
      <c r="AI320" s="17"/>
      <c r="AJ320" s="181"/>
      <c r="AK320" s="13"/>
      <c r="AL320" s="181"/>
      <c r="AM320" s="175"/>
      <c r="AN320" s="192"/>
      <c r="AO320" s="13"/>
      <c r="AP320" s="181"/>
      <c r="AQ320" s="175"/>
      <c r="AR320" s="18"/>
      <c r="AS320" s="12"/>
      <c r="AT320" s="12"/>
      <c r="AU320" s="12"/>
      <c r="AV320" s="12"/>
      <c r="AW320" s="137"/>
      <c r="AX320" s="13"/>
      <c r="AY320" s="138"/>
      <c r="AZ320" s="140"/>
      <c r="BA320" s="18"/>
      <c r="BB320" s="18" t="e">
        <f>IF(#REF!&lt;&gt;0,IF(LL[[#This Row],[Date of Birth]]&lt;&gt;0,YEAR(#REF!-LL[[#This Row],[Date of Birth]])-1900,""),"")</f>
        <v>#REF!</v>
      </c>
      <c r="BC320" s="2" t="str">
        <f>IF(LL[[#This Row],[Sx Onset Date]]&gt;0,LL[[#This Row],[Sx Onset Date]],"")</f>
        <v/>
      </c>
      <c r="BD320" s="2" t="str">
        <f>IF(LL[[#This Row],[Lab-confirmed?]]="Y",LL[[#This Row],[Test Date]],"")</f>
        <v/>
      </c>
      <c r="BE320" s="2" t="str">
        <f>IF(LL[[#This Row],[Lab-confirmed?]]="Y",LL[[#This Row],[Test Date 2]],"")</f>
        <v/>
      </c>
      <c r="BF320" s="139" t="str">
        <f>IF(LL[[#This Row],[Date Reported to Public Health]]&gt;0,LL[[#This Row],[Date Reported to Public Health]],"")</f>
        <v/>
      </c>
      <c r="BG320" s="13" t="str">
        <f t="shared" si="4"/>
        <v/>
      </c>
    </row>
    <row r="321" spans="1:59" x14ac:dyDescent="0.3">
      <c r="A321" s="11">
        <v>317</v>
      </c>
      <c r="B321" s="12"/>
      <c r="C321" s="13"/>
      <c r="D321" s="12"/>
      <c r="E321" s="12"/>
      <c r="F321" s="12"/>
      <c r="G321" s="16"/>
      <c r="H321" s="12"/>
      <c r="I321" s="14"/>
      <c r="J321" s="137"/>
      <c r="K321" s="137"/>
      <c r="L321" s="18"/>
      <c r="M321" s="139"/>
      <c r="N321" s="140"/>
      <c r="O321" s="137"/>
      <c r="P321" s="137"/>
      <c r="Q321" s="15"/>
      <c r="R321" s="12"/>
      <c r="S321" s="12"/>
      <c r="T321" s="12"/>
      <c r="U321" s="14"/>
      <c r="V321" s="15"/>
      <c r="W321" s="12"/>
      <c r="X321" s="12"/>
      <c r="Y321" s="12"/>
      <c r="Z321" s="12"/>
      <c r="AA321" s="12"/>
      <c r="AB321" s="14"/>
      <c r="AC321" s="15"/>
      <c r="AD321" s="12"/>
      <c r="AE321" s="12"/>
      <c r="AF321" s="14"/>
      <c r="AG321" s="18"/>
      <c r="AH321" s="18"/>
      <c r="AI321" s="17"/>
      <c r="AJ321" s="181"/>
      <c r="AK321" s="13"/>
      <c r="AL321" s="181"/>
      <c r="AM321" s="175"/>
      <c r="AN321" s="192"/>
      <c r="AO321" s="13"/>
      <c r="AP321" s="181"/>
      <c r="AQ321" s="175"/>
      <c r="AR321" s="18"/>
      <c r="AS321" s="12"/>
      <c r="AT321" s="12"/>
      <c r="AU321" s="12"/>
      <c r="AV321" s="12"/>
      <c r="AW321" s="137"/>
      <c r="AX321" s="13"/>
      <c r="AY321" s="138"/>
      <c r="AZ321" s="140"/>
      <c r="BA321" s="18"/>
      <c r="BB321" s="18" t="e">
        <f>IF(#REF!&lt;&gt;0,IF(LL[[#This Row],[Date of Birth]]&lt;&gt;0,YEAR(#REF!-LL[[#This Row],[Date of Birth]])-1900,""),"")</f>
        <v>#REF!</v>
      </c>
      <c r="BC321" s="2" t="str">
        <f>IF(LL[[#This Row],[Sx Onset Date]]&gt;0,LL[[#This Row],[Sx Onset Date]],"")</f>
        <v/>
      </c>
      <c r="BD321" s="2" t="str">
        <f>IF(LL[[#This Row],[Lab-confirmed?]]="Y",LL[[#This Row],[Test Date]],"")</f>
        <v/>
      </c>
      <c r="BE321" s="2" t="str">
        <f>IF(LL[[#This Row],[Lab-confirmed?]]="Y",LL[[#This Row],[Test Date 2]],"")</f>
        <v/>
      </c>
      <c r="BF321" s="139" t="str">
        <f>IF(LL[[#This Row],[Date Reported to Public Health]]&gt;0,LL[[#This Row],[Date Reported to Public Health]],"")</f>
        <v/>
      </c>
      <c r="BG321" s="13" t="str">
        <f t="shared" si="4"/>
        <v/>
      </c>
    </row>
    <row r="322" spans="1:59" x14ac:dyDescent="0.3">
      <c r="A322" s="11">
        <v>318</v>
      </c>
      <c r="B322" s="12"/>
      <c r="C322" s="13"/>
      <c r="D322" s="12"/>
      <c r="E322" s="12"/>
      <c r="F322" s="12"/>
      <c r="G322" s="16"/>
      <c r="H322" s="12"/>
      <c r="I322" s="14"/>
      <c r="J322" s="137"/>
      <c r="K322" s="137"/>
      <c r="L322" s="18"/>
      <c r="M322" s="139"/>
      <c r="N322" s="140"/>
      <c r="O322" s="137"/>
      <c r="P322" s="137"/>
      <c r="Q322" s="15"/>
      <c r="R322" s="12"/>
      <c r="S322" s="12"/>
      <c r="T322" s="12"/>
      <c r="U322" s="14"/>
      <c r="V322" s="15"/>
      <c r="W322" s="12"/>
      <c r="X322" s="12"/>
      <c r="Y322" s="12"/>
      <c r="Z322" s="12"/>
      <c r="AA322" s="12"/>
      <c r="AB322" s="14"/>
      <c r="AC322" s="15"/>
      <c r="AD322" s="12"/>
      <c r="AE322" s="12"/>
      <c r="AF322" s="14"/>
      <c r="AG322" s="18"/>
      <c r="AH322" s="18"/>
      <c r="AI322" s="17"/>
      <c r="AJ322" s="181"/>
      <c r="AK322" s="13"/>
      <c r="AL322" s="181"/>
      <c r="AM322" s="175"/>
      <c r="AN322" s="192"/>
      <c r="AO322" s="13"/>
      <c r="AP322" s="181"/>
      <c r="AQ322" s="175"/>
      <c r="AR322" s="18"/>
      <c r="AS322" s="12"/>
      <c r="AT322" s="12"/>
      <c r="AU322" s="12"/>
      <c r="AV322" s="12"/>
      <c r="AW322" s="137"/>
      <c r="AX322" s="13"/>
      <c r="AY322" s="138"/>
      <c r="AZ322" s="140"/>
      <c r="BA322" s="18"/>
      <c r="BB322" s="18" t="e">
        <f>IF(#REF!&lt;&gt;0,IF(LL[[#This Row],[Date of Birth]]&lt;&gt;0,YEAR(#REF!-LL[[#This Row],[Date of Birth]])-1900,""),"")</f>
        <v>#REF!</v>
      </c>
      <c r="BC322" s="2" t="str">
        <f>IF(LL[[#This Row],[Sx Onset Date]]&gt;0,LL[[#This Row],[Sx Onset Date]],"")</f>
        <v/>
      </c>
      <c r="BD322" s="2" t="str">
        <f>IF(LL[[#This Row],[Lab-confirmed?]]="Y",LL[[#This Row],[Test Date]],"")</f>
        <v/>
      </c>
      <c r="BE322" s="2" t="str">
        <f>IF(LL[[#This Row],[Lab-confirmed?]]="Y",LL[[#This Row],[Test Date 2]],"")</f>
        <v/>
      </c>
      <c r="BF322" s="139" t="str">
        <f>IF(LL[[#This Row],[Date Reported to Public Health]]&gt;0,LL[[#This Row],[Date Reported to Public Health]],"")</f>
        <v/>
      </c>
      <c r="BG322" s="13" t="str">
        <f t="shared" si="4"/>
        <v/>
      </c>
    </row>
    <row r="323" spans="1:59" x14ac:dyDescent="0.3">
      <c r="A323" s="11">
        <v>319</v>
      </c>
      <c r="B323" s="12"/>
      <c r="C323" s="13"/>
      <c r="D323" s="12"/>
      <c r="E323" s="12"/>
      <c r="F323" s="12"/>
      <c r="G323" s="16"/>
      <c r="H323" s="12"/>
      <c r="I323" s="14"/>
      <c r="J323" s="137"/>
      <c r="K323" s="137"/>
      <c r="L323" s="18"/>
      <c r="M323" s="139"/>
      <c r="N323" s="140"/>
      <c r="O323" s="137"/>
      <c r="P323" s="137"/>
      <c r="Q323" s="15"/>
      <c r="R323" s="12"/>
      <c r="S323" s="12"/>
      <c r="T323" s="12"/>
      <c r="U323" s="14"/>
      <c r="V323" s="15"/>
      <c r="W323" s="12"/>
      <c r="X323" s="12"/>
      <c r="Y323" s="12"/>
      <c r="Z323" s="12"/>
      <c r="AA323" s="12"/>
      <c r="AB323" s="14"/>
      <c r="AC323" s="15"/>
      <c r="AD323" s="12"/>
      <c r="AE323" s="12"/>
      <c r="AF323" s="14"/>
      <c r="AG323" s="18"/>
      <c r="AH323" s="18"/>
      <c r="AI323" s="17"/>
      <c r="AJ323" s="181"/>
      <c r="AK323" s="13"/>
      <c r="AL323" s="181"/>
      <c r="AM323" s="175"/>
      <c r="AN323" s="192"/>
      <c r="AO323" s="13"/>
      <c r="AP323" s="181"/>
      <c r="AQ323" s="175"/>
      <c r="AR323" s="18"/>
      <c r="AS323" s="12"/>
      <c r="AT323" s="12"/>
      <c r="AU323" s="12"/>
      <c r="AV323" s="12"/>
      <c r="AW323" s="137"/>
      <c r="AX323" s="13"/>
      <c r="AY323" s="138"/>
      <c r="AZ323" s="140"/>
      <c r="BA323" s="18"/>
      <c r="BB323" s="18" t="e">
        <f>IF(#REF!&lt;&gt;0,IF(LL[[#This Row],[Date of Birth]]&lt;&gt;0,YEAR(#REF!-LL[[#This Row],[Date of Birth]])-1900,""),"")</f>
        <v>#REF!</v>
      </c>
      <c r="BC323" s="2" t="str">
        <f>IF(LL[[#This Row],[Sx Onset Date]]&gt;0,LL[[#This Row],[Sx Onset Date]],"")</f>
        <v/>
      </c>
      <c r="BD323" s="2" t="str">
        <f>IF(LL[[#This Row],[Lab-confirmed?]]="Y",LL[[#This Row],[Test Date]],"")</f>
        <v/>
      </c>
      <c r="BE323" s="2" t="str">
        <f>IF(LL[[#This Row],[Lab-confirmed?]]="Y",LL[[#This Row],[Test Date 2]],"")</f>
        <v/>
      </c>
      <c r="BF323" s="139" t="str">
        <f>IF(LL[[#This Row],[Date Reported to Public Health]]&gt;0,LL[[#This Row],[Date Reported to Public Health]],"")</f>
        <v/>
      </c>
      <c r="BG323" s="13" t="str">
        <f t="shared" si="4"/>
        <v/>
      </c>
    </row>
    <row r="324" spans="1:59" x14ac:dyDescent="0.3">
      <c r="A324" s="11">
        <v>320</v>
      </c>
      <c r="B324" s="12"/>
      <c r="C324" s="13"/>
      <c r="D324" s="12"/>
      <c r="E324" s="12"/>
      <c r="F324" s="12"/>
      <c r="G324" s="16"/>
      <c r="H324" s="12"/>
      <c r="I324" s="14"/>
      <c r="J324" s="137"/>
      <c r="K324" s="137"/>
      <c r="L324" s="18"/>
      <c r="M324" s="139"/>
      <c r="N324" s="140"/>
      <c r="O324" s="137"/>
      <c r="P324" s="137"/>
      <c r="Q324" s="15"/>
      <c r="R324" s="12"/>
      <c r="S324" s="12"/>
      <c r="T324" s="12"/>
      <c r="U324" s="14"/>
      <c r="V324" s="15"/>
      <c r="W324" s="12"/>
      <c r="X324" s="12"/>
      <c r="Y324" s="12"/>
      <c r="Z324" s="12"/>
      <c r="AA324" s="12"/>
      <c r="AB324" s="14"/>
      <c r="AC324" s="15"/>
      <c r="AD324" s="12"/>
      <c r="AE324" s="12"/>
      <c r="AF324" s="14"/>
      <c r="AG324" s="18"/>
      <c r="AH324" s="18"/>
      <c r="AI324" s="17"/>
      <c r="AJ324" s="181"/>
      <c r="AK324" s="13"/>
      <c r="AL324" s="181"/>
      <c r="AM324" s="175"/>
      <c r="AN324" s="192"/>
      <c r="AO324" s="13"/>
      <c r="AP324" s="181"/>
      <c r="AQ324" s="175"/>
      <c r="AR324" s="18"/>
      <c r="AS324" s="12"/>
      <c r="AT324" s="12"/>
      <c r="AU324" s="12"/>
      <c r="AV324" s="12"/>
      <c r="AW324" s="137"/>
      <c r="AX324" s="13"/>
      <c r="AY324" s="138"/>
      <c r="AZ324" s="140"/>
      <c r="BA324" s="18"/>
      <c r="BB324" s="18" t="e">
        <f>IF(#REF!&lt;&gt;0,IF(LL[[#This Row],[Date of Birth]]&lt;&gt;0,YEAR(#REF!-LL[[#This Row],[Date of Birth]])-1900,""),"")</f>
        <v>#REF!</v>
      </c>
      <c r="BC324" s="2" t="str">
        <f>IF(LL[[#This Row],[Sx Onset Date]]&gt;0,LL[[#This Row],[Sx Onset Date]],"")</f>
        <v/>
      </c>
      <c r="BD324" s="2" t="str">
        <f>IF(LL[[#This Row],[Lab-confirmed?]]="Y",LL[[#This Row],[Test Date]],"")</f>
        <v/>
      </c>
      <c r="BE324" s="2" t="str">
        <f>IF(LL[[#This Row],[Lab-confirmed?]]="Y",LL[[#This Row],[Test Date 2]],"")</f>
        <v/>
      </c>
      <c r="BF324" s="139" t="str">
        <f>IF(LL[[#This Row],[Date Reported to Public Health]]&gt;0,LL[[#This Row],[Date Reported to Public Health]],"")</f>
        <v/>
      </c>
      <c r="BG324" s="13" t="str">
        <f t="shared" si="4"/>
        <v/>
      </c>
    </row>
    <row r="325" spans="1:59" x14ac:dyDescent="0.3">
      <c r="A325" s="11">
        <v>321</v>
      </c>
      <c r="B325" s="12"/>
      <c r="C325" s="13"/>
      <c r="D325" s="12"/>
      <c r="E325" s="12"/>
      <c r="F325" s="12"/>
      <c r="G325" s="16"/>
      <c r="H325" s="12"/>
      <c r="I325" s="14"/>
      <c r="J325" s="137"/>
      <c r="K325" s="137"/>
      <c r="L325" s="18"/>
      <c r="M325" s="139"/>
      <c r="N325" s="140"/>
      <c r="O325" s="137"/>
      <c r="P325" s="137"/>
      <c r="Q325" s="15"/>
      <c r="R325" s="12"/>
      <c r="S325" s="12"/>
      <c r="T325" s="12"/>
      <c r="U325" s="14"/>
      <c r="V325" s="15"/>
      <c r="W325" s="12"/>
      <c r="X325" s="12"/>
      <c r="Y325" s="12"/>
      <c r="Z325" s="12"/>
      <c r="AA325" s="12"/>
      <c r="AB325" s="14"/>
      <c r="AC325" s="15"/>
      <c r="AD325" s="12"/>
      <c r="AE325" s="12"/>
      <c r="AF325" s="14"/>
      <c r="AG325" s="18"/>
      <c r="AH325" s="18"/>
      <c r="AI325" s="17"/>
      <c r="AJ325" s="181"/>
      <c r="AK325" s="13"/>
      <c r="AL325" s="181"/>
      <c r="AM325" s="175"/>
      <c r="AN325" s="192"/>
      <c r="AO325" s="13"/>
      <c r="AP325" s="181"/>
      <c r="AQ325" s="175"/>
      <c r="AR325" s="18"/>
      <c r="AS325" s="12"/>
      <c r="AT325" s="12"/>
      <c r="AU325" s="12"/>
      <c r="AV325" s="12"/>
      <c r="AW325" s="137"/>
      <c r="AX325" s="13"/>
      <c r="AY325" s="138"/>
      <c r="AZ325" s="140"/>
      <c r="BA325" s="18"/>
      <c r="BB325" s="18" t="e">
        <f>IF(#REF!&lt;&gt;0,IF(LL[[#This Row],[Date of Birth]]&lt;&gt;0,YEAR(#REF!-LL[[#This Row],[Date of Birth]])-1900,""),"")</f>
        <v>#REF!</v>
      </c>
      <c r="BC325" s="2" t="str">
        <f>IF(LL[[#This Row],[Sx Onset Date]]&gt;0,LL[[#This Row],[Sx Onset Date]],"")</f>
        <v/>
      </c>
      <c r="BD325" s="2" t="str">
        <f>IF(LL[[#This Row],[Lab-confirmed?]]="Y",LL[[#This Row],[Test Date]],"")</f>
        <v/>
      </c>
      <c r="BE325" s="2" t="str">
        <f>IF(LL[[#This Row],[Lab-confirmed?]]="Y",LL[[#This Row],[Test Date 2]],"")</f>
        <v/>
      </c>
      <c r="BF325" s="139" t="str">
        <f>IF(LL[[#This Row],[Date Reported to Public Health]]&gt;0,LL[[#This Row],[Date Reported to Public Health]],"")</f>
        <v/>
      </c>
      <c r="BG325" s="13" t="str">
        <f t="shared" ref="BG325:BG388" si="5">IF(_xlfn.MINIFS(BC325:BF325,BC325:BF325,"&gt;"&amp;0)&gt;0,_xlfn.MINIFS(BC325:BF325,BC325:BF325,"&gt;"&amp;0),"")</f>
        <v/>
      </c>
    </row>
    <row r="326" spans="1:59" x14ac:dyDescent="0.3">
      <c r="A326" s="11">
        <v>322</v>
      </c>
      <c r="B326" s="12"/>
      <c r="C326" s="13"/>
      <c r="D326" s="12"/>
      <c r="E326" s="12"/>
      <c r="F326" s="12"/>
      <c r="G326" s="16"/>
      <c r="H326" s="12"/>
      <c r="I326" s="14"/>
      <c r="J326" s="137"/>
      <c r="K326" s="137"/>
      <c r="L326" s="18"/>
      <c r="M326" s="139"/>
      <c r="N326" s="140"/>
      <c r="O326" s="137"/>
      <c r="P326" s="137"/>
      <c r="Q326" s="15"/>
      <c r="R326" s="12"/>
      <c r="S326" s="12"/>
      <c r="T326" s="12"/>
      <c r="U326" s="14"/>
      <c r="V326" s="15"/>
      <c r="W326" s="12"/>
      <c r="X326" s="12"/>
      <c r="Y326" s="12"/>
      <c r="Z326" s="12"/>
      <c r="AA326" s="12"/>
      <c r="AB326" s="14"/>
      <c r="AC326" s="15"/>
      <c r="AD326" s="12"/>
      <c r="AE326" s="12"/>
      <c r="AF326" s="14"/>
      <c r="AG326" s="18"/>
      <c r="AH326" s="18"/>
      <c r="AI326" s="17"/>
      <c r="AJ326" s="181"/>
      <c r="AK326" s="13"/>
      <c r="AL326" s="181"/>
      <c r="AM326" s="175"/>
      <c r="AN326" s="192"/>
      <c r="AO326" s="13"/>
      <c r="AP326" s="181"/>
      <c r="AQ326" s="175"/>
      <c r="AR326" s="18"/>
      <c r="AS326" s="12"/>
      <c r="AT326" s="12"/>
      <c r="AU326" s="12"/>
      <c r="AV326" s="12"/>
      <c r="AW326" s="137"/>
      <c r="AX326" s="13"/>
      <c r="AY326" s="138"/>
      <c r="AZ326" s="140"/>
      <c r="BA326" s="18"/>
      <c r="BB326" s="18" t="e">
        <f>IF(#REF!&lt;&gt;0,IF(LL[[#This Row],[Date of Birth]]&lt;&gt;0,YEAR(#REF!-LL[[#This Row],[Date of Birth]])-1900,""),"")</f>
        <v>#REF!</v>
      </c>
      <c r="BC326" s="2" t="str">
        <f>IF(LL[[#This Row],[Sx Onset Date]]&gt;0,LL[[#This Row],[Sx Onset Date]],"")</f>
        <v/>
      </c>
      <c r="BD326" s="2" t="str">
        <f>IF(LL[[#This Row],[Lab-confirmed?]]="Y",LL[[#This Row],[Test Date]],"")</f>
        <v/>
      </c>
      <c r="BE326" s="2" t="str">
        <f>IF(LL[[#This Row],[Lab-confirmed?]]="Y",LL[[#This Row],[Test Date 2]],"")</f>
        <v/>
      </c>
      <c r="BF326" s="139" t="str">
        <f>IF(LL[[#This Row],[Date Reported to Public Health]]&gt;0,LL[[#This Row],[Date Reported to Public Health]],"")</f>
        <v/>
      </c>
      <c r="BG326" s="13" t="str">
        <f t="shared" si="5"/>
        <v/>
      </c>
    </row>
    <row r="327" spans="1:59" x14ac:dyDescent="0.3">
      <c r="A327" s="11">
        <v>323</v>
      </c>
      <c r="B327" s="12"/>
      <c r="C327" s="13"/>
      <c r="D327" s="12"/>
      <c r="E327" s="12"/>
      <c r="F327" s="12"/>
      <c r="G327" s="16"/>
      <c r="H327" s="12"/>
      <c r="I327" s="14"/>
      <c r="J327" s="137"/>
      <c r="K327" s="137"/>
      <c r="L327" s="18"/>
      <c r="M327" s="139"/>
      <c r="N327" s="140"/>
      <c r="O327" s="137"/>
      <c r="P327" s="137"/>
      <c r="Q327" s="15"/>
      <c r="R327" s="12"/>
      <c r="S327" s="12"/>
      <c r="T327" s="12"/>
      <c r="U327" s="14"/>
      <c r="V327" s="15"/>
      <c r="W327" s="12"/>
      <c r="X327" s="12"/>
      <c r="Y327" s="12"/>
      <c r="Z327" s="12"/>
      <c r="AA327" s="12"/>
      <c r="AB327" s="14"/>
      <c r="AC327" s="15"/>
      <c r="AD327" s="12"/>
      <c r="AE327" s="12"/>
      <c r="AF327" s="14"/>
      <c r="AG327" s="18"/>
      <c r="AH327" s="18"/>
      <c r="AI327" s="17"/>
      <c r="AJ327" s="181"/>
      <c r="AK327" s="13"/>
      <c r="AL327" s="181"/>
      <c r="AM327" s="175"/>
      <c r="AN327" s="192"/>
      <c r="AO327" s="13"/>
      <c r="AP327" s="181"/>
      <c r="AQ327" s="175"/>
      <c r="AR327" s="18"/>
      <c r="AS327" s="12"/>
      <c r="AT327" s="12"/>
      <c r="AU327" s="12"/>
      <c r="AV327" s="12"/>
      <c r="AW327" s="137"/>
      <c r="AX327" s="13"/>
      <c r="AY327" s="138"/>
      <c r="AZ327" s="140"/>
      <c r="BA327" s="18"/>
      <c r="BB327" s="18" t="e">
        <f>IF(#REF!&lt;&gt;0,IF(LL[[#This Row],[Date of Birth]]&lt;&gt;0,YEAR(#REF!-LL[[#This Row],[Date of Birth]])-1900,""),"")</f>
        <v>#REF!</v>
      </c>
      <c r="BC327" s="2" t="str">
        <f>IF(LL[[#This Row],[Sx Onset Date]]&gt;0,LL[[#This Row],[Sx Onset Date]],"")</f>
        <v/>
      </c>
      <c r="BD327" s="2" t="str">
        <f>IF(LL[[#This Row],[Lab-confirmed?]]="Y",LL[[#This Row],[Test Date]],"")</f>
        <v/>
      </c>
      <c r="BE327" s="2" t="str">
        <f>IF(LL[[#This Row],[Lab-confirmed?]]="Y",LL[[#This Row],[Test Date 2]],"")</f>
        <v/>
      </c>
      <c r="BF327" s="139" t="str">
        <f>IF(LL[[#This Row],[Date Reported to Public Health]]&gt;0,LL[[#This Row],[Date Reported to Public Health]],"")</f>
        <v/>
      </c>
      <c r="BG327" s="13" t="str">
        <f t="shared" si="5"/>
        <v/>
      </c>
    </row>
    <row r="328" spans="1:59" x14ac:dyDescent="0.3">
      <c r="A328" s="11">
        <v>324</v>
      </c>
      <c r="B328" s="12"/>
      <c r="C328" s="13"/>
      <c r="D328" s="12"/>
      <c r="E328" s="12"/>
      <c r="F328" s="12"/>
      <c r="G328" s="16"/>
      <c r="H328" s="12"/>
      <c r="I328" s="14"/>
      <c r="J328" s="137"/>
      <c r="K328" s="137"/>
      <c r="L328" s="18"/>
      <c r="M328" s="139"/>
      <c r="N328" s="140"/>
      <c r="O328" s="137"/>
      <c r="P328" s="137"/>
      <c r="Q328" s="15"/>
      <c r="R328" s="12"/>
      <c r="S328" s="12"/>
      <c r="T328" s="12"/>
      <c r="U328" s="14"/>
      <c r="V328" s="15"/>
      <c r="W328" s="12"/>
      <c r="X328" s="12"/>
      <c r="Y328" s="12"/>
      <c r="Z328" s="12"/>
      <c r="AA328" s="12"/>
      <c r="AB328" s="14"/>
      <c r="AC328" s="15"/>
      <c r="AD328" s="12"/>
      <c r="AE328" s="12"/>
      <c r="AF328" s="14"/>
      <c r="AG328" s="18"/>
      <c r="AH328" s="18"/>
      <c r="AI328" s="17"/>
      <c r="AJ328" s="181"/>
      <c r="AK328" s="13"/>
      <c r="AL328" s="181"/>
      <c r="AM328" s="175"/>
      <c r="AN328" s="192"/>
      <c r="AO328" s="13"/>
      <c r="AP328" s="181"/>
      <c r="AQ328" s="175"/>
      <c r="AR328" s="18"/>
      <c r="AS328" s="12"/>
      <c r="AT328" s="12"/>
      <c r="AU328" s="12"/>
      <c r="AV328" s="12"/>
      <c r="AW328" s="137"/>
      <c r="AX328" s="13"/>
      <c r="AY328" s="138"/>
      <c r="AZ328" s="140"/>
      <c r="BA328" s="18"/>
      <c r="BB328" s="18" t="e">
        <f>IF(#REF!&lt;&gt;0,IF(LL[[#This Row],[Date of Birth]]&lt;&gt;0,YEAR(#REF!-LL[[#This Row],[Date of Birth]])-1900,""),"")</f>
        <v>#REF!</v>
      </c>
      <c r="BC328" s="2" t="str">
        <f>IF(LL[[#This Row],[Sx Onset Date]]&gt;0,LL[[#This Row],[Sx Onset Date]],"")</f>
        <v/>
      </c>
      <c r="BD328" s="2" t="str">
        <f>IF(LL[[#This Row],[Lab-confirmed?]]="Y",LL[[#This Row],[Test Date]],"")</f>
        <v/>
      </c>
      <c r="BE328" s="2" t="str">
        <f>IF(LL[[#This Row],[Lab-confirmed?]]="Y",LL[[#This Row],[Test Date 2]],"")</f>
        <v/>
      </c>
      <c r="BF328" s="139" t="str">
        <f>IF(LL[[#This Row],[Date Reported to Public Health]]&gt;0,LL[[#This Row],[Date Reported to Public Health]],"")</f>
        <v/>
      </c>
      <c r="BG328" s="13" t="str">
        <f t="shared" si="5"/>
        <v/>
      </c>
    </row>
    <row r="329" spans="1:59" x14ac:dyDescent="0.3">
      <c r="A329" s="11">
        <v>325</v>
      </c>
      <c r="B329" s="12"/>
      <c r="C329" s="13"/>
      <c r="D329" s="12"/>
      <c r="E329" s="12"/>
      <c r="F329" s="12"/>
      <c r="G329" s="16"/>
      <c r="H329" s="12"/>
      <c r="I329" s="14"/>
      <c r="J329" s="137"/>
      <c r="K329" s="137"/>
      <c r="L329" s="18"/>
      <c r="M329" s="139"/>
      <c r="N329" s="140"/>
      <c r="O329" s="137"/>
      <c r="P329" s="137"/>
      <c r="Q329" s="15"/>
      <c r="R329" s="12"/>
      <c r="S329" s="12"/>
      <c r="T329" s="12"/>
      <c r="U329" s="14"/>
      <c r="V329" s="15"/>
      <c r="W329" s="12"/>
      <c r="X329" s="12"/>
      <c r="Y329" s="12"/>
      <c r="Z329" s="12"/>
      <c r="AA329" s="12"/>
      <c r="AB329" s="14"/>
      <c r="AC329" s="15"/>
      <c r="AD329" s="12"/>
      <c r="AE329" s="12"/>
      <c r="AF329" s="14"/>
      <c r="AG329" s="18"/>
      <c r="AH329" s="18"/>
      <c r="AI329" s="17"/>
      <c r="AJ329" s="181"/>
      <c r="AK329" s="13"/>
      <c r="AL329" s="181"/>
      <c r="AM329" s="175"/>
      <c r="AN329" s="192"/>
      <c r="AO329" s="13"/>
      <c r="AP329" s="181"/>
      <c r="AQ329" s="175"/>
      <c r="AR329" s="18"/>
      <c r="AS329" s="12"/>
      <c r="AT329" s="12"/>
      <c r="AU329" s="12"/>
      <c r="AV329" s="12"/>
      <c r="AW329" s="137"/>
      <c r="AX329" s="13"/>
      <c r="AY329" s="138"/>
      <c r="AZ329" s="140"/>
      <c r="BA329" s="18"/>
      <c r="BB329" s="18" t="e">
        <f>IF(#REF!&lt;&gt;0,IF(LL[[#This Row],[Date of Birth]]&lt;&gt;0,YEAR(#REF!-LL[[#This Row],[Date of Birth]])-1900,""),"")</f>
        <v>#REF!</v>
      </c>
      <c r="BC329" s="2" t="str">
        <f>IF(LL[[#This Row],[Sx Onset Date]]&gt;0,LL[[#This Row],[Sx Onset Date]],"")</f>
        <v/>
      </c>
      <c r="BD329" s="2" t="str">
        <f>IF(LL[[#This Row],[Lab-confirmed?]]="Y",LL[[#This Row],[Test Date]],"")</f>
        <v/>
      </c>
      <c r="BE329" s="2" t="str">
        <f>IF(LL[[#This Row],[Lab-confirmed?]]="Y",LL[[#This Row],[Test Date 2]],"")</f>
        <v/>
      </c>
      <c r="BF329" s="139" t="str">
        <f>IF(LL[[#This Row],[Date Reported to Public Health]]&gt;0,LL[[#This Row],[Date Reported to Public Health]],"")</f>
        <v/>
      </c>
      <c r="BG329" s="13" t="str">
        <f t="shared" si="5"/>
        <v/>
      </c>
    </row>
    <row r="330" spans="1:59" x14ac:dyDescent="0.3">
      <c r="A330" s="11">
        <v>326</v>
      </c>
      <c r="B330" s="12"/>
      <c r="C330" s="13"/>
      <c r="D330" s="12"/>
      <c r="E330" s="12"/>
      <c r="F330" s="12"/>
      <c r="G330" s="16"/>
      <c r="H330" s="12"/>
      <c r="I330" s="14"/>
      <c r="J330" s="137"/>
      <c r="K330" s="137"/>
      <c r="L330" s="18"/>
      <c r="M330" s="139"/>
      <c r="N330" s="140"/>
      <c r="O330" s="137"/>
      <c r="P330" s="137"/>
      <c r="Q330" s="15"/>
      <c r="R330" s="12"/>
      <c r="S330" s="12"/>
      <c r="T330" s="12"/>
      <c r="U330" s="14"/>
      <c r="V330" s="15"/>
      <c r="W330" s="12"/>
      <c r="X330" s="12"/>
      <c r="Y330" s="12"/>
      <c r="Z330" s="12"/>
      <c r="AA330" s="12"/>
      <c r="AB330" s="14"/>
      <c r="AC330" s="15"/>
      <c r="AD330" s="12"/>
      <c r="AE330" s="12"/>
      <c r="AF330" s="14"/>
      <c r="AG330" s="18"/>
      <c r="AH330" s="18"/>
      <c r="AI330" s="17"/>
      <c r="AJ330" s="181"/>
      <c r="AK330" s="13"/>
      <c r="AL330" s="181"/>
      <c r="AM330" s="175"/>
      <c r="AN330" s="192"/>
      <c r="AO330" s="13"/>
      <c r="AP330" s="181"/>
      <c r="AQ330" s="175"/>
      <c r="AR330" s="18"/>
      <c r="AS330" s="12"/>
      <c r="AT330" s="12"/>
      <c r="AU330" s="12"/>
      <c r="AV330" s="12"/>
      <c r="AW330" s="137"/>
      <c r="AX330" s="13"/>
      <c r="AY330" s="138"/>
      <c r="AZ330" s="140"/>
      <c r="BA330" s="18"/>
      <c r="BB330" s="18" t="e">
        <f>IF(#REF!&lt;&gt;0,IF(LL[[#This Row],[Date of Birth]]&lt;&gt;0,YEAR(#REF!-LL[[#This Row],[Date of Birth]])-1900,""),"")</f>
        <v>#REF!</v>
      </c>
      <c r="BC330" s="2" t="str">
        <f>IF(LL[[#This Row],[Sx Onset Date]]&gt;0,LL[[#This Row],[Sx Onset Date]],"")</f>
        <v/>
      </c>
      <c r="BD330" s="2" t="str">
        <f>IF(LL[[#This Row],[Lab-confirmed?]]="Y",LL[[#This Row],[Test Date]],"")</f>
        <v/>
      </c>
      <c r="BE330" s="2" t="str">
        <f>IF(LL[[#This Row],[Lab-confirmed?]]="Y",LL[[#This Row],[Test Date 2]],"")</f>
        <v/>
      </c>
      <c r="BF330" s="139" t="str">
        <f>IF(LL[[#This Row],[Date Reported to Public Health]]&gt;0,LL[[#This Row],[Date Reported to Public Health]],"")</f>
        <v/>
      </c>
      <c r="BG330" s="13" t="str">
        <f t="shared" si="5"/>
        <v/>
      </c>
    </row>
    <row r="331" spans="1:59" x14ac:dyDescent="0.3">
      <c r="A331" s="11">
        <v>327</v>
      </c>
      <c r="B331" s="12"/>
      <c r="C331" s="13"/>
      <c r="D331" s="12"/>
      <c r="E331" s="12"/>
      <c r="F331" s="12"/>
      <c r="G331" s="16"/>
      <c r="H331" s="12"/>
      <c r="I331" s="14"/>
      <c r="J331" s="137"/>
      <c r="K331" s="137"/>
      <c r="L331" s="18"/>
      <c r="M331" s="139"/>
      <c r="N331" s="140"/>
      <c r="O331" s="137"/>
      <c r="P331" s="137"/>
      <c r="Q331" s="15"/>
      <c r="R331" s="12"/>
      <c r="S331" s="12"/>
      <c r="T331" s="12"/>
      <c r="U331" s="14"/>
      <c r="V331" s="15"/>
      <c r="W331" s="12"/>
      <c r="X331" s="12"/>
      <c r="Y331" s="12"/>
      <c r="Z331" s="12"/>
      <c r="AA331" s="12"/>
      <c r="AB331" s="14"/>
      <c r="AC331" s="15"/>
      <c r="AD331" s="12"/>
      <c r="AE331" s="12"/>
      <c r="AF331" s="14"/>
      <c r="AG331" s="18"/>
      <c r="AH331" s="18"/>
      <c r="AI331" s="17"/>
      <c r="AJ331" s="181"/>
      <c r="AK331" s="13"/>
      <c r="AL331" s="181"/>
      <c r="AM331" s="175"/>
      <c r="AN331" s="192"/>
      <c r="AO331" s="13"/>
      <c r="AP331" s="181"/>
      <c r="AQ331" s="175"/>
      <c r="AR331" s="18"/>
      <c r="AS331" s="12"/>
      <c r="AT331" s="12"/>
      <c r="AU331" s="12"/>
      <c r="AV331" s="12"/>
      <c r="AW331" s="137"/>
      <c r="AX331" s="13"/>
      <c r="AY331" s="138"/>
      <c r="AZ331" s="140"/>
      <c r="BA331" s="18"/>
      <c r="BB331" s="18" t="e">
        <f>IF(#REF!&lt;&gt;0,IF(LL[[#This Row],[Date of Birth]]&lt;&gt;0,YEAR(#REF!-LL[[#This Row],[Date of Birth]])-1900,""),"")</f>
        <v>#REF!</v>
      </c>
      <c r="BC331" s="2" t="str">
        <f>IF(LL[[#This Row],[Sx Onset Date]]&gt;0,LL[[#This Row],[Sx Onset Date]],"")</f>
        <v/>
      </c>
      <c r="BD331" s="2" t="str">
        <f>IF(LL[[#This Row],[Lab-confirmed?]]="Y",LL[[#This Row],[Test Date]],"")</f>
        <v/>
      </c>
      <c r="BE331" s="2" t="str">
        <f>IF(LL[[#This Row],[Lab-confirmed?]]="Y",LL[[#This Row],[Test Date 2]],"")</f>
        <v/>
      </c>
      <c r="BF331" s="139" t="str">
        <f>IF(LL[[#This Row],[Date Reported to Public Health]]&gt;0,LL[[#This Row],[Date Reported to Public Health]],"")</f>
        <v/>
      </c>
      <c r="BG331" s="13" t="str">
        <f t="shared" si="5"/>
        <v/>
      </c>
    </row>
    <row r="332" spans="1:59" x14ac:dyDescent="0.3">
      <c r="A332" s="11">
        <v>328</v>
      </c>
      <c r="B332" s="12"/>
      <c r="C332" s="13"/>
      <c r="D332" s="12"/>
      <c r="E332" s="12"/>
      <c r="F332" s="12"/>
      <c r="G332" s="16"/>
      <c r="H332" s="12"/>
      <c r="I332" s="14"/>
      <c r="J332" s="137"/>
      <c r="K332" s="137"/>
      <c r="L332" s="18"/>
      <c r="M332" s="139"/>
      <c r="N332" s="140"/>
      <c r="O332" s="137"/>
      <c r="P332" s="137"/>
      <c r="Q332" s="15"/>
      <c r="R332" s="12"/>
      <c r="S332" s="12"/>
      <c r="T332" s="12"/>
      <c r="U332" s="14"/>
      <c r="V332" s="15"/>
      <c r="W332" s="12"/>
      <c r="X332" s="12"/>
      <c r="Y332" s="12"/>
      <c r="Z332" s="12"/>
      <c r="AA332" s="12"/>
      <c r="AB332" s="14"/>
      <c r="AC332" s="15"/>
      <c r="AD332" s="12"/>
      <c r="AE332" s="12"/>
      <c r="AF332" s="14"/>
      <c r="AG332" s="18"/>
      <c r="AH332" s="18"/>
      <c r="AI332" s="17"/>
      <c r="AJ332" s="181"/>
      <c r="AK332" s="13"/>
      <c r="AL332" s="181"/>
      <c r="AM332" s="175"/>
      <c r="AN332" s="192"/>
      <c r="AO332" s="13"/>
      <c r="AP332" s="181"/>
      <c r="AQ332" s="175"/>
      <c r="AR332" s="18"/>
      <c r="AS332" s="12"/>
      <c r="AT332" s="12"/>
      <c r="AU332" s="12"/>
      <c r="AV332" s="12"/>
      <c r="AW332" s="137"/>
      <c r="AX332" s="13"/>
      <c r="AY332" s="138"/>
      <c r="AZ332" s="140"/>
      <c r="BA332" s="18"/>
      <c r="BB332" s="18" t="e">
        <f>IF(#REF!&lt;&gt;0,IF(LL[[#This Row],[Date of Birth]]&lt;&gt;0,YEAR(#REF!-LL[[#This Row],[Date of Birth]])-1900,""),"")</f>
        <v>#REF!</v>
      </c>
      <c r="BC332" s="2" t="str">
        <f>IF(LL[[#This Row],[Sx Onset Date]]&gt;0,LL[[#This Row],[Sx Onset Date]],"")</f>
        <v/>
      </c>
      <c r="BD332" s="2" t="str">
        <f>IF(LL[[#This Row],[Lab-confirmed?]]="Y",LL[[#This Row],[Test Date]],"")</f>
        <v/>
      </c>
      <c r="BE332" s="2" t="str">
        <f>IF(LL[[#This Row],[Lab-confirmed?]]="Y",LL[[#This Row],[Test Date 2]],"")</f>
        <v/>
      </c>
      <c r="BF332" s="139" t="str">
        <f>IF(LL[[#This Row],[Date Reported to Public Health]]&gt;0,LL[[#This Row],[Date Reported to Public Health]],"")</f>
        <v/>
      </c>
      <c r="BG332" s="13" t="str">
        <f t="shared" si="5"/>
        <v/>
      </c>
    </row>
    <row r="333" spans="1:59" x14ac:dyDescent="0.3">
      <c r="A333" s="11">
        <v>329</v>
      </c>
      <c r="B333" s="12"/>
      <c r="C333" s="13"/>
      <c r="D333" s="12"/>
      <c r="E333" s="12"/>
      <c r="F333" s="12"/>
      <c r="G333" s="16"/>
      <c r="H333" s="12"/>
      <c r="I333" s="14"/>
      <c r="J333" s="137"/>
      <c r="K333" s="137"/>
      <c r="L333" s="18"/>
      <c r="M333" s="139"/>
      <c r="N333" s="140"/>
      <c r="O333" s="137"/>
      <c r="P333" s="137"/>
      <c r="Q333" s="15"/>
      <c r="R333" s="12"/>
      <c r="S333" s="12"/>
      <c r="T333" s="12"/>
      <c r="U333" s="14"/>
      <c r="V333" s="15"/>
      <c r="W333" s="12"/>
      <c r="X333" s="12"/>
      <c r="Y333" s="12"/>
      <c r="Z333" s="12"/>
      <c r="AA333" s="12"/>
      <c r="AB333" s="14"/>
      <c r="AC333" s="15"/>
      <c r="AD333" s="12"/>
      <c r="AE333" s="12"/>
      <c r="AF333" s="14"/>
      <c r="AG333" s="18"/>
      <c r="AH333" s="18"/>
      <c r="AI333" s="17"/>
      <c r="AJ333" s="181"/>
      <c r="AK333" s="13"/>
      <c r="AL333" s="181"/>
      <c r="AM333" s="175"/>
      <c r="AN333" s="192"/>
      <c r="AO333" s="13"/>
      <c r="AP333" s="181"/>
      <c r="AQ333" s="175"/>
      <c r="AR333" s="18"/>
      <c r="AS333" s="12"/>
      <c r="AT333" s="12"/>
      <c r="AU333" s="12"/>
      <c r="AV333" s="12"/>
      <c r="AW333" s="137"/>
      <c r="AX333" s="13"/>
      <c r="AY333" s="138"/>
      <c r="AZ333" s="140"/>
      <c r="BA333" s="18"/>
      <c r="BB333" s="18" t="e">
        <f>IF(#REF!&lt;&gt;0,IF(LL[[#This Row],[Date of Birth]]&lt;&gt;0,YEAR(#REF!-LL[[#This Row],[Date of Birth]])-1900,""),"")</f>
        <v>#REF!</v>
      </c>
      <c r="BC333" s="2" t="str">
        <f>IF(LL[[#This Row],[Sx Onset Date]]&gt;0,LL[[#This Row],[Sx Onset Date]],"")</f>
        <v/>
      </c>
      <c r="BD333" s="2" t="str">
        <f>IF(LL[[#This Row],[Lab-confirmed?]]="Y",LL[[#This Row],[Test Date]],"")</f>
        <v/>
      </c>
      <c r="BE333" s="2" t="str">
        <f>IF(LL[[#This Row],[Lab-confirmed?]]="Y",LL[[#This Row],[Test Date 2]],"")</f>
        <v/>
      </c>
      <c r="BF333" s="139" t="str">
        <f>IF(LL[[#This Row],[Date Reported to Public Health]]&gt;0,LL[[#This Row],[Date Reported to Public Health]],"")</f>
        <v/>
      </c>
      <c r="BG333" s="13" t="str">
        <f t="shared" si="5"/>
        <v/>
      </c>
    </row>
    <row r="334" spans="1:59" x14ac:dyDescent="0.3">
      <c r="A334" s="11">
        <v>330</v>
      </c>
      <c r="B334" s="12"/>
      <c r="C334" s="13"/>
      <c r="D334" s="12"/>
      <c r="E334" s="12"/>
      <c r="F334" s="12"/>
      <c r="G334" s="16"/>
      <c r="H334" s="12"/>
      <c r="I334" s="14"/>
      <c r="J334" s="137"/>
      <c r="K334" s="137"/>
      <c r="L334" s="18"/>
      <c r="M334" s="139"/>
      <c r="N334" s="140"/>
      <c r="O334" s="137"/>
      <c r="P334" s="137"/>
      <c r="Q334" s="15"/>
      <c r="R334" s="12"/>
      <c r="S334" s="12"/>
      <c r="T334" s="12"/>
      <c r="U334" s="14"/>
      <c r="V334" s="15"/>
      <c r="W334" s="12"/>
      <c r="X334" s="12"/>
      <c r="Y334" s="12"/>
      <c r="Z334" s="12"/>
      <c r="AA334" s="12"/>
      <c r="AB334" s="14"/>
      <c r="AC334" s="15"/>
      <c r="AD334" s="12"/>
      <c r="AE334" s="12"/>
      <c r="AF334" s="14"/>
      <c r="AG334" s="18"/>
      <c r="AH334" s="18"/>
      <c r="AI334" s="17"/>
      <c r="AJ334" s="181"/>
      <c r="AK334" s="13"/>
      <c r="AL334" s="181"/>
      <c r="AM334" s="175"/>
      <c r="AN334" s="192"/>
      <c r="AO334" s="13"/>
      <c r="AP334" s="181"/>
      <c r="AQ334" s="175"/>
      <c r="AR334" s="18"/>
      <c r="AS334" s="12"/>
      <c r="AT334" s="12"/>
      <c r="AU334" s="12"/>
      <c r="AV334" s="12"/>
      <c r="AW334" s="137"/>
      <c r="AX334" s="13"/>
      <c r="AY334" s="138"/>
      <c r="AZ334" s="140"/>
      <c r="BA334" s="18"/>
      <c r="BB334" s="18" t="e">
        <f>IF(#REF!&lt;&gt;0,IF(LL[[#This Row],[Date of Birth]]&lt;&gt;0,YEAR(#REF!-LL[[#This Row],[Date of Birth]])-1900,""),"")</f>
        <v>#REF!</v>
      </c>
      <c r="BC334" s="2" t="str">
        <f>IF(LL[[#This Row],[Sx Onset Date]]&gt;0,LL[[#This Row],[Sx Onset Date]],"")</f>
        <v/>
      </c>
      <c r="BD334" s="2" t="str">
        <f>IF(LL[[#This Row],[Lab-confirmed?]]="Y",LL[[#This Row],[Test Date]],"")</f>
        <v/>
      </c>
      <c r="BE334" s="2" t="str">
        <f>IF(LL[[#This Row],[Lab-confirmed?]]="Y",LL[[#This Row],[Test Date 2]],"")</f>
        <v/>
      </c>
      <c r="BF334" s="139" t="str">
        <f>IF(LL[[#This Row],[Date Reported to Public Health]]&gt;0,LL[[#This Row],[Date Reported to Public Health]],"")</f>
        <v/>
      </c>
      <c r="BG334" s="13" t="str">
        <f t="shared" si="5"/>
        <v/>
      </c>
    </row>
    <row r="335" spans="1:59" x14ac:dyDescent="0.3">
      <c r="A335" s="11">
        <v>331</v>
      </c>
      <c r="B335" s="12"/>
      <c r="C335" s="13"/>
      <c r="D335" s="12"/>
      <c r="E335" s="12"/>
      <c r="F335" s="12"/>
      <c r="G335" s="16"/>
      <c r="H335" s="12"/>
      <c r="I335" s="14"/>
      <c r="J335" s="137"/>
      <c r="K335" s="137"/>
      <c r="L335" s="18"/>
      <c r="M335" s="139"/>
      <c r="N335" s="140"/>
      <c r="O335" s="137"/>
      <c r="P335" s="137"/>
      <c r="Q335" s="15"/>
      <c r="R335" s="12"/>
      <c r="S335" s="12"/>
      <c r="T335" s="12"/>
      <c r="U335" s="14"/>
      <c r="V335" s="15"/>
      <c r="W335" s="12"/>
      <c r="X335" s="12"/>
      <c r="Y335" s="12"/>
      <c r="Z335" s="12"/>
      <c r="AA335" s="12"/>
      <c r="AB335" s="14"/>
      <c r="AC335" s="15"/>
      <c r="AD335" s="12"/>
      <c r="AE335" s="12"/>
      <c r="AF335" s="14"/>
      <c r="AG335" s="18"/>
      <c r="AH335" s="18"/>
      <c r="AI335" s="17"/>
      <c r="AJ335" s="181"/>
      <c r="AK335" s="13"/>
      <c r="AL335" s="181"/>
      <c r="AM335" s="175"/>
      <c r="AN335" s="192"/>
      <c r="AO335" s="13"/>
      <c r="AP335" s="181"/>
      <c r="AQ335" s="175"/>
      <c r="AR335" s="18"/>
      <c r="AS335" s="12"/>
      <c r="AT335" s="12"/>
      <c r="AU335" s="12"/>
      <c r="AV335" s="12"/>
      <c r="AW335" s="137"/>
      <c r="AX335" s="13"/>
      <c r="AY335" s="138"/>
      <c r="AZ335" s="140"/>
      <c r="BA335" s="18"/>
      <c r="BB335" s="18" t="e">
        <f>IF(#REF!&lt;&gt;0,IF(LL[[#This Row],[Date of Birth]]&lt;&gt;0,YEAR(#REF!-LL[[#This Row],[Date of Birth]])-1900,""),"")</f>
        <v>#REF!</v>
      </c>
      <c r="BC335" s="2" t="str">
        <f>IF(LL[[#This Row],[Sx Onset Date]]&gt;0,LL[[#This Row],[Sx Onset Date]],"")</f>
        <v/>
      </c>
      <c r="BD335" s="2" t="str">
        <f>IF(LL[[#This Row],[Lab-confirmed?]]="Y",LL[[#This Row],[Test Date]],"")</f>
        <v/>
      </c>
      <c r="BE335" s="2" t="str">
        <f>IF(LL[[#This Row],[Lab-confirmed?]]="Y",LL[[#This Row],[Test Date 2]],"")</f>
        <v/>
      </c>
      <c r="BF335" s="139" t="str">
        <f>IF(LL[[#This Row],[Date Reported to Public Health]]&gt;0,LL[[#This Row],[Date Reported to Public Health]],"")</f>
        <v/>
      </c>
      <c r="BG335" s="13" t="str">
        <f t="shared" si="5"/>
        <v/>
      </c>
    </row>
    <row r="336" spans="1:59" x14ac:dyDescent="0.3">
      <c r="A336" s="11">
        <v>332</v>
      </c>
      <c r="B336" s="12"/>
      <c r="C336" s="13"/>
      <c r="D336" s="12"/>
      <c r="E336" s="12"/>
      <c r="F336" s="12"/>
      <c r="G336" s="16"/>
      <c r="H336" s="12"/>
      <c r="I336" s="14"/>
      <c r="J336" s="137"/>
      <c r="K336" s="137"/>
      <c r="L336" s="18"/>
      <c r="M336" s="139"/>
      <c r="N336" s="140"/>
      <c r="O336" s="137"/>
      <c r="P336" s="137"/>
      <c r="Q336" s="15"/>
      <c r="R336" s="12"/>
      <c r="S336" s="12"/>
      <c r="T336" s="12"/>
      <c r="U336" s="14"/>
      <c r="V336" s="15"/>
      <c r="W336" s="12"/>
      <c r="X336" s="12"/>
      <c r="Y336" s="12"/>
      <c r="Z336" s="12"/>
      <c r="AA336" s="12"/>
      <c r="AB336" s="14"/>
      <c r="AC336" s="15"/>
      <c r="AD336" s="12"/>
      <c r="AE336" s="12"/>
      <c r="AF336" s="14"/>
      <c r="AG336" s="18"/>
      <c r="AH336" s="18"/>
      <c r="AI336" s="17"/>
      <c r="AJ336" s="181"/>
      <c r="AK336" s="13"/>
      <c r="AL336" s="181"/>
      <c r="AM336" s="175"/>
      <c r="AN336" s="192"/>
      <c r="AO336" s="13"/>
      <c r="AP336" s="181"/>
      <c r="AQ336" s="175"/>
      <c r="AR336" s="18"/>
      <c r="AS336" s="12"/>
      <c r="AT336" s="12"/>
      <c r="AU336" s="12"/>
      <c r="AV336" s="12"/>
      <c r="AW336" s="137"/>
      <c r="AX336" s="13"/>
      <c r="AY336" s="138"/>
      <c r="AZ336" s="140"/>
      <c r="BA336" s="18"/>
      <c r="BB336" s="18" t="e">
        <f>IF(#REF!&lt;&gt;0,IF(LL[[#This Row],[Date of Birth]]&lt;&gt;0,YEAR(#REF!-LL[[#This Row],[Date of Birth]])-1900,""),"")</f>
        <v>#REF!</v>
      </c>
      <c r="BC336" s="2" t="str">
        <f>IF(LL[[#This Row],[Sx Onset Date]]&gt;0,LL[[#This Row],[Sx Onset Date]],"")</f>
        <v/>
      </c>
      <c r="BD336" s="2" t="str">
        <f>IF(LL[[#This Row],[Lab-confirmed?]]="Y",LL[[#This Row],[Test Date]],"")</f>
        <v/>
      </c>
      <c r="BE336" s="2" t="str">
        <f>IF(LL[[#This Row],[Lab-confirmed?]]="Y",LL[[#This Row],[Test Date 2]],"")</f>
        <v/>
      </c>
      <c r="BF336" s="139" t="str">
        <f>IF(LL[[#This Row],[Date Reported to Public Health]]&gt;0,LL[[#This Row],[Date Reported to Public Health]],"")</f>
        <v/>
      </c>
      <c r="BG336" s="13" t="str">
        <f t="shared" si="5"/>
        <v/>
      </c>
    </row>
    <row r="337" spans="1:59" x14ac:dyDescent="0.3">
      <c r="A337" s="11">
        <v>333</v>
      </c>
      <c r="B337" s="12"/>
      <c r="C337" s="13"/>
      <c r="D337" s="12"/>
      <c r="E337" s="12"/>
      <c r="F337" s="12"/>
      <c r="G337" s="16"/>
      <c r="H337" s="12"/>
      <c r="I337" s="14"/>
      <c r="J337" s="137"/>
      <c r="K337" s="137"/>
      <c r="L337" s="18"/>
      <c r="M337" s="139"/>
      <c r="N337" s="140"/>
      <c r="O337" s="137"/>
      <c r="P337" s="137"/>
      <c r="Q337" s="15"/>
      <c r="R337" s="12"/>
      <c r="S337" s="12"/>
      <c r="T337" s="12"/>
      <c r="U337" s="14"/>
      <c r="V337" s="15"/>
      <c r="W337" s="12"/>
      <c r="X337" s="12"/>
      <c r="Y337" s="12"/>
      <c r="Z337" s="12"/>
      <c r="AA337" s="12"/>
      <c r="AB337" s="14"/>
      <c r="AC337" s="15"/>
      <c r="AD337" s="12"/>
      <c r="AE337" s="12"/>
      <c r="AF337" s="14"/>
      <c r="AG337" s="18"/>
      <c r="AH337" s="18"/>
      <c r="AI337" s="17"/>
      <c r="AJ337" s="181"/>
      <c r="AK337" s="13"/>
      <c r="AL337" s="181"/>
      <c r="AM337" s="175"/>
      <c r="AN337" s="192"/>
      <c r="AO337" s="13"/>
      <c r="AP337" s="181"/>
      <c r="AQ337" s="175"/>
      <c r="AR337" s="18"/>
      <c r="AS337" s="12"/>
      <c r="AT337" s="12"/>
      <c r="AU337" s="12"/>
      <c r="AV337" s="12"/>
      <c r="AW337" s="137"/>
      <c r="AX337" s="13"/>
      <c r="AY337" s="138"/>
      <c r="AZ337" s="140"/>
      <c r="BA337" s="18"/>
      <c r="BB337" s="18" t="e">
        <f>IF(#REF!&lt;&gt;0,IF(LL[[#This Row],[Date of Birth]]&lt;&gt;0,YEAR(#REF!-LL[[#This Row],[Date of Birth]])-1900,""),"")</f>
        <v>#REF!</v>
      </c>
      <c r="BC337" s="2" t="str">
        <f>IF(LL[[#This Row],[Sx Onset Date]]&gt;0,LL[[#This Row],[Sx Onset Date]],"")</f>
        <v/>
      </c>
      <c r="BD337" s="2" t="str">
        <f>IF(LL[[#This Row],[Lab-confirmed?]]="Y",LL[[#This Row],[Test Date]],"")</f>
        <v/>
      </c>
      <c r="BE337" s="2" t="str">
        <f>IF(LL[[#This Row],[Lab-confirmed?]]="Y",LL[[#This Row],[Test Date 2]],"")</f>
        <v/>
      </c>
      <c r="BF337" s="139" t="str">
        <f>IF(LL[[#This Row],[Date Reported to Public Health]]&gt;0,LL[[#This Row],[Date Reported to Public Health]],"")</f>
        <v/>
      </c>
      <c r="BG337" s="13" t="str">
        <f t="shared" si="5"/>
        <v/>
      </c>
    </row>
    <row r="338" spans="1:59" x14ac:dyDescent="0.3">
      <c r="A338" s="11">
        <v>334</v>
      </c>
      <c r="B338" s="12"/>
      <c r="C338" s="13"/>
      <c r="D338" s="12"/>
      <c r="E338" s="12"/>
      <c r="F338" s="12"/>
      <c r="G338" s="16"/>
      <c r="H338" s="12"/>
      <c r="I338" s="14"/>
      <c r="J338" s="137"/>
      <c r="K338" s="137"/>
      <c r="L338" s="18"/>
      <c r="M338" s="139"/>
      <c r="N338" s="140"/>
      <c r="O338" s="137"/>
      <c r="P338" s="137"/>
      <c r="Q338" s="15"/>
      <c r="R338" s="12"/>
      <c r="S338" s="12"/>
      <c r="T338" s="12"/>
      <c r="U338" s="14"/>
      <c r="V338" s="15"/>
      <c r="W338" s="12"/>
      <c r="X338" s="12"/>
      <c r="Y338" s="12"/>
      <c r="Z338" s="12"/>
      <c r="AA338" s="12"/>
      <c r="AB338" s="14"/>
      <c r="AC338" s="15"/>
      <c r="AD338" s="12"/>
      <c r="AE338" s="12"/>
      <c r="AF338" s="14"/>
      <c r="AG338" s="18"/>
      <c r="AH338" s="18"/>
      <c r="AI338" s="17"/>
      <c r="AJ338" s="181"/>
      <c r="AK338" s="13"/>
      <c r="AL338" s="181"/>
      <c r="AM338" s="175"/>
      <c r="AN338" s="192"/>
      <c r="AO338" s="13"/>
      <c r="AP338" s="181"/>
      <c r="AQ338" s="175"/>
      <c r="AR338" s="18"/>
      <c r="AS338" s="12"/>
      <c r="AT338" s="12"/>
      <c r="AU338" s="12"/>
      <c r="AV338" s="12"/>
      <c r="AW338" s="137"/>
      <c r="AX338" s="13"/>
      <c r="AY338" s="138"/>
      <c r="AZ338" s="140"/>
      <c r="BA338" s="18"/>
      <c r="BB338" s="18" t="e">
        <f>IF(#REF!&lt;&gt;0,IF(LL[[#This Row],[Date of Birth]]&lt;&gt;0,YEAR(#REF!-LL[[#This Row],[Date of Birth]])-1900,""),"")</f>
        <v>#REF!</v>
      </c>
      <c r="BC338" s="2" t="str">
        <f>IF(LL[[#This Row],[Sx Onset Date]]&gt;0,LL[[#This Row],[Sx Onset Date]],"")</f>
        <v/>
      </c>
      <c r="BD338" s="2" t="str">
        <f>IF(LL[[#This Row],[Lab-confirmed?]]="Y",LL[[#This Row],[Test Date]],"")</f>
        <v/>
      </c>
      <c r="BE338" s="2" t="str">
        <f>IF(LL[[#This Row],[Lab-confirmed?]]="Y",LL[[#This Row],[Test Date 2]],"")</f>
        <v/>
      </c>
      <c r="BF338" s="139" t="str">
        <f>IF(LL[[#This Row],[Date Reported to Public Health]]&gt;0,LL[[#This Row],[Date Reported to Public Health]],"")</f>
        <v/>
      </c>
      <c r="BG338" s="13" t="str">
        <f t="shared" si="5"/>
        <v/>
      </c>
    </row>
    <row r="339" spans="1:59" x14ac:dyDescent="0.3">
      <c r="A339" s="11">
        <v>335</v>
      </c>
      <c r="B339" s="12"/>
      <c r="C339" s="13"/>
      <c r="D339" s="12"/>
      <c r="E339" s="12"/>
      <c r="F339" s="12"/>
      <c r="G339" s="16"/>
      <c r="H339" s="12"/>
      <c r="I339" s="14"/>
      <c r="J339" s="137"/>
      <c r="K339" s="137"/>
      <c r="L339" s="18"/>
      <c r="M339" s="139"/>
      <c r="N339" s="140"/>
      <c r="O339" s="137"/>
      <c r="P339" s="137"/>
      <c r="Q339" s="15"/>
      <c r="R339" s="12"/>
      <c r="S339" s="12"/>
      <c r="T339" s="12"/>
      <c r="U339" s="14"/>
      <c r="V339" s="15"/>
      <c r="W339" s="12"/>
      <c r="X339" s="12"/>
      <c r="Y339" s="12"/>
      <c r="Z339" s="12"/>
      <c r="AA339" s="12"/>
      <c r="AB339" s="14"/>
      <c r="AC339" s="15"/>
      <c r="AD339" s="12"/>
      <c r="AE339" s="12"/>
      <c r="AF339" s="14"/>
      <c r="AG339" s="18"/>
      <c r="AH339" s="18"/>
      <c r="AI339" s="17"/>
      <c r="AJ339" s="181"/>
      <c r="AK339" s="13"/>
      <c r="AL339" s="181"/>
      <c r="AM339" s="175"/>
      <c r="AN339" s="192"/>
      <c r="AO339" s="13"/>
      <c r="AP339" s="181"/>
      <c r="AQ339" s="175"/>
      <c r="AR339" s="18"/>
      <c r="AS339" s="12"/>
      <c r="AT339" s="12"/>
      <c r="AU339" s="12"/>
      <c r="AV339" s="12"/>
      <c r="AW339" s="137"/>
      <c r="AX339" s="13"/>
      <c r="AY339" s="138"/>
      <c r="AZ339" s="140"/>
      <c r="BA339" s="18"/>
      <c r="BB339" s="18" t="e">
        <f>IF(#REF!&lt;&gt;0,IF(LL[[#This Row],[Date of Birth]]&lt;&gt;0,YEAR(#REF!-LL[[#This Row],[Date of Birth]])-1900,""),"")</f>
        <v>#REF!</v>
      </c>
      <c r="BC339" s="2" t="str">
        <f>IF(LL[[#This Row],[Sx Onset Date]]&gt;0,LL[[#This Row],[Sx Onset Date]],"")</f>
        <v/>
      </c>
      <c r="BD339" s="2" t="str">
        <f>IF(LL[[#This Row],[Lab-confirmed?]]="Y",LL[[#This Row],[Test Date]],"")</f>
        <v/>
      </c>
      <c r="BE339" s="2" t="str">
        <f>IF(LL[[#This Row],[Lab-confirmed?]]="Y",LL[[#This Row],[Test Date 2]],"")</f>
        <v/>
      </c>
      <c r="BF339" s="139" t="str">
        <f>IF(LL[[#This Row],[Date Reported to Public Health]]&gt;0,LL[[#This Row],[Date Reported to Public Health]],"")</f>
        <v/>
      </c>
      <c r="BG339" s="13" t="str">
        <f t="shared" si="5"/>
        <v/>
      </c>
    </row>
    <row r="340" spans="1:59" x14ac:dyDescent="0.3">
      <c r="A340" s="11">
        <v>336</v>
      </c>
      <c r="B340" s="12"/>
      <c r="C340" s="13"/>
      <c r="D340" s="12"/>
      <c r="E340" s="12"/>
      <c r="F340" s="12"/>
      <c r="G340" s="16"/>
      <c r="H340" s="12"/>
      <c r="I340" s="14"/>
      <c r="J340" s="137"/>
      <c r="K340" s="137"/>
      <c r="L340" s="18"/>
      <c r="M340" s="139"/>
      <c r="N340" s="140"/>
      <c r="O340" s="137"/>
      <c r="P340" s="137"/>
      <c r="Q340" s="15"/>
      <c r="R340" s="12"/>
      <c r="S340" s="12"/>
      <c r="T340" s="12"/>
      <c r="U340" s="14"/>
      <c r="V340" s="15"/>
      <c r="W340" s="12"/>
      <c r="X340" s="12"/>
      <c r="Y340" s="12"/>
      <c r="Z340" s="12"/>
      <c r="AA340" s="12"/>
      <c r="AB340" s="14"/>
      <c r="AC340" s="15"/>
      <c r="AD340" s="12"/>
      <c r="AE340" s="12"/>
      <c r="AF340" s="14"/>
      <c r="AG340" s="18"/>
      <c r="AH340" s="18"/>
      <c r="AI340" s="17"/>
      <c r="AJ340" s="181"/>
      <c r="AK340" s="13"/>
      <c r="AL340" s="181"/>
      <c r="AM340" s="175"/>
      <c r="AN340" s="192"/>
      <c r="AO340" s="13"/>
      <c r="AP340" s="181"/>
      <c r="AQ340" s="175"/>
      <c r="AR340" s="18"/>
      <c r="AS340" s="12"/>
      <c r="AT340" s="12"/>
      <c r="AU340" s="12"/>
      <c r="AV340" s="12"/>
      <c r="AW340" s="137"/>
      <c r="AX340" s="13"/>
      <c r="AY340" s="138"/>
      <c r="AZ340" s="140"/>
      <c r="BA340" s="18"/>
      <c r="BB340" s="18" t="e">
        <f>IF(#REF!&lt;&gt;0,IF(LL[[#This Row],[Date of Birth]]&lt;&gt;0,YEAR(#REF!-LL[[#This Row],[Date of Birth]])-1900,""),"")</f>
        <v>#REF!</v>
      </c>
      <c r="BC340" s="2" t="str">
        <f>IF(LL[[#This Row],[Sx Onset Date]]&gt;0,LL[[#This Row],[Sx Onset Date]],"")</f>
        <v/>
      </c>
      <c r="BD340" s="2" t="str">
        <f>IF(LL[[#This Row],[Lab-confirmed?]]="Y",LL[[#This Row],[Test Date]],"")</f>
        <v/>
      </c>
      <c r="BE340" s="2" t="str">
        <f>IF(LL[[#This Row],[Lab-confirmed?]]="Y",LL[[#This Row],[Test Date 2]],"")</f>
        <v/>
      </c>
      <c r="BF340" s="139" t="str">
        <f>IF(LL[[#This Row],[Date Reported to Public Health]]&gt;0,LL[[#This Row],[Date Reported to Public Health]],"")</f>
        <v/>
      </c>
      <c r="BG340" s="13" t="str">
        <f t="shared" si="5"/>
        <v/>
      </c>
    </row>
    <row r="341" spans="1:59" x14ac:dyDescent="0.3">
      <c r="A341" s="11">
        <v>337</v>
      </c>
      <c r="B341" s="12"/>
      <c r="C341" s="13"/>
      <c r="D341" s="12"/>
      <c r="E341" s="12"/>
      <c r="F341" s="12"/>
      <c r="G341" s="16"/>
      <c r="H341" s="12"/>
      <c r="I341" s="14"/>
      <c r="J341" s="137"/>
      <c r="K341" s="137"/>
      <c r="L341" s="18"/>
      <c r="M341" s="139"/>
      <c r="N341" s="140"/>
      <c r="O341" s="137"/>
      <c r="P341" s="137"/>
      <c r="Q341" s="15"/>
      <c r="R341" s="12"/>
      <c r="S341" s="12"/>
      <c r="T341" s="12"/>
      <c r="U341" s="14"/>
      <c r="V341" s="15"/>
      <c r="W341" s="12"/>
      <c r="X341" s="12"/>
      <c r="Y341" s="12"/>
      <c r="Z341" s="12"/>
      <c r="AA341" s="12"/>
      <c r="AB341" s="14"/>
      <c r="AC341" s="15"/>
      <c r="AD341" s="12"/>
      <c r="AE341" s="12"/>
      <c r="AF341" s="14"/>
      <c r="AG341" s="18"/>
      <c r="AH341" s="18"/>
      <c r="AI341" s="17"/>
      <c r="AJ341" s="181"/>
      <c r="AK341" s="13"/>
      <c r="AL341" s="181"/>
      <c r="AM341" s="175"/>
      <c r="AN341" s="192"/>
      <c r="AO341" s="13"/>
      <c r="AP341" s="181"/>
      <c r="AQ341" s="175"/>
      <c r="AR341" s="18"/>
      <c r="AS341" s="12"/>
      <c r="AT341" s="12"/>
      <c r="AU341" s="12"/>
      <c r="AV341" s="12"/>
      <c r="AW341" s="137"/>
      <c r="AX341" s="13"/>
      <c r="AY341" s="138"/>
      <c r="AZ341" s="140"/>
      <c r="BA341" s="18"/>
      <c r="BB341" s="18" t="e">
        <f>IF(#REF!&lt;&gt;0,IF(LL[[#This Row],[Date of Birth]]&lt;&gt;0,YEAR(#REF!-LL[[#This Row],[Date of Birth]])-1900,""),"")</f>
        <v>#REF!</v>
      </c>
      <c r="BC341" s="2" t="str">
        <f>IF(LL[[#This Row],[Sx Onset Date]]&gt;0,LL[[#This Row],[Sx Onset Date]],"")</f>
        <v/>
      </c>
      <c r="BD341" s="2" t="str">
        <f>IF(LL[[#This Row],[Lab-confirmed?]]="Y",LL[[#This Row],[Test Date]],"")</f>
        <v/>
      </c>
      <c r="BE341" s="2" t="str">
        <f>IF(LL[[#This Row],[Lab-confirmed?]]="Y",LL[[#This Row],[Test Date 2]],"")</f>
        <v/>
      </c>
      <c r="BF341" s="139" t="str">
        <f>IF(LL[[#This Row],[Date Reported to Public Health]]&gt;0,LL[[#This Row],[Date Reported to Public Health]],"")</f>
        <v/>
      </c>
      <c r="BG341" s="13" t="str">
        <f t="shared" si="5"/>
        <v/>
      </c>
    </row>
    <row r="342" spans="1:59" x14ac:dyDescent="0.3">
      <c r="A342" s="11">
        <v>338</v>
      </c>
      <c r="B342" s="12"/>
      <c r="C342" s="13"/>
      <c r="D342" s="12"/>
      <c r="E342" s="12"/>
      <c r="F342" s="12"/>
      <c r="G342" s="16"/>
      <c r="H342" s="12"/>
      <c r="I342" s="14"/>
      <c r="J342" s="137"/>
      <c r="K342" s="137"/>
      <c r="L342" s="18"/>
      <c r="M342" s="139"/>
      <c r="N342" s="140"/>
      <c r="O342" s="137"/>
      <c r="P342" s="137"/>
      <c r="Q342" s="15"/>
      <c r="R342" s="12"/>
      <c r="S342" s="12"/>
      <c r="T342" s="12"/>
      <c r="U342" s="14"/>
      <c r="V342" s="15"/>
      <c r="W342" s="12"/>
      <c r="X342" s="12"/>
      <c r="Y342" s="12"/>
      <c r="Z342" s="12"/>
      <c r="AA342" s="12"/>
      <c r="AB342" s="14"/>
      <c r="AC342" s="15"/>
      <c r="AD342" s="12"/>
      <c r="AE342" s="12"/>
      <c r="AF342" s="14"/>
      <c r="AG342" s="18"/>
      <c r="AH342" s="18"/>
      <c r="AI342" s="17"/>
      <c r="AJ342" s="181"/>
      <c r="AK342" s="13"/>
      <c r="AL342" s="181"/>
      <c r="AM342" s="175"/>
      <c r="AN342" s="192"/>
      <c r="AO342" s="13"/>
      <c r="AP342" s="181"/>
      <c r="AQ342" s="175"/>
      <c r="AR342" s="18"/>
      <c r="AS342" s="12"/>
      <c r="AT342" s="12"/>
      <c r="AU342" s="12"/>
      <c r="AV342" s="12"/>
      <c r="AW342" s="137"/>
      <c r="AX342" s="13"/>
      <c r="AY342" s="138"/>
      <c r="AZ342" s="140"/>
      <c r="BA342" s="18"/>
      <c r="BB342" s="18" t="e">
        <f>IF(#REF!&lt;&gt;0,IF(LL[[#This Row],[Date of Birth]]&lt;&gt;0,YEAR(#REF!-LL[[#This Row],[Date of Birth]])-1900,""),"")</f>
        <v>#REF!</v>
      </c>
      <c r="BC342" s="2" t="str">
        <f>IF(LL[[#This Row],[Sx Onset Date]]&gt;0,LL[[#This Row],[Sx Onset Date]],"")</f>
        <v/>
      </c>
      <c r="BD342" s="2" t="str">
        <f>IF(LL[[#This Row],[Lab-confirmed?]]="Y",LL[[#This Row],[Test Date]],"")</f>
        <v/>
      </c>
      <c r="BE342" s="2" t="str">
        <f>IF(LL[[#This Row],[Lab-confirmed?]]="Y",LL[[#This Row],[Test Date 2]],"")</f>
        <v/>
      </c>
      <c r="BF342" s="139" t="str">
        <f>IF(LL[[#This Row],[Date Reported to Public Health]]&gt;0,LL[[#This Row],[Date Reported to Public Health]],"")</f>
        <v/>
      </c>
      <c r="BG342" s="13" t="str">
        <f t="shared" si="5"/>
        <v/>
      </c>
    </row>
    <row r="343" spans="1:59" x14ac:dyDescent="0.3">
      <c r="A343" s="11">
        <v>339</v>
      </c>
      <c r="B343" s="12"/>
      <c r="C343" s="13"/>
      <c r="D343" s="12"/>
      <c r="E343" s="12"/>
      <c r="F343" s="12"/>
      <c r="G343" s="16"/>
      <c r="H343" s="12"/>
      <c r="I343" s="14"/>
      <c r="J343" s="137"/>
      <c r="K343" s="137"/>
      <c r="L343" s="18"/>
      <c r="M343" s="139"/>
      <c r="N343" s="140"/>
      <c r="O343" s="137"/>
      <c r="P343" s="137"/>
      <c r="Q343" s="15"/>
      <c r="R343" s="12"/>
      <c r="S343" s="12"/>
      <c r="T343" s="12"/>
      <c r="U343" s="14"/>
      <c r="V343" s="15"/>
      <c r="W343" s="12"/>
      <c r="X343" s="12"/>
      <c r="Y343" s="12"/>
      <c r="Z343" s="12"/>
      <c r="AA343" s="12"/>
      <c r="AB343" s="14"/>
      <c r="AC343" s="15"/>
      <c r="AD343" s="12"/>
      <c r="AE343" s="12"/>
      <c r="AF343" s="14"/>
      <c r="AG343" s="18"/>
      <c r="AH343" s="18"/>
      <c r="AI343" s="17"/>
      <c r="AJ343" s="181"/>
      <c r="AK343" s="13"/>
      <c r="AL343" s="181"/>
      <c r="AM343" s="175"/>
      <c r="AN343" s="192"/>
      <c r="AO343" s="13"/>
      <c r="AP343" s="181"/>
      <c r="AQ343" s="175"/>
      <c r="AR343" s="18"/>
      <c r="AS343" s="12"/>
      <c r="AT343" s="12"/>
      <c r="AU343" s="12"/>
      <c r="AV343" s="12"/>
      <c r="AW343" s="137"/>
      <c r="AX343" s="13"/>
      <c r="AY343" s="138"/>
      <c r="AZ343" s="140"/>
      <c r="BA343" s="18"/>
      <c r="BB343" s="18" t="e">
        <f>IF(#REF!&lt;&gt;0,IF(LL[[#This Row],[Date of Birth]]&lt;&gt;0,YEAR(#REF!-LL[[#This Row],[Date of Birth]])-1900,""),"")</f>
        <v>#REF!</v>
      </c>
      <c r="BC343" s="2" t="str">
        <f>IF(LL[[#This Row],[Sx Onset Date]]&gt;0,LL[[#This Row],[Sx Onset Date]],"")</f>
        <v/>
      </c>
      <c r="BD343" s="2" t="str">
        <f>IF(LL[[#This Row],[Lab-confirmed?]]="Y",LL[[#This Row],[Test Date]],"")</f>
        <v/>
      </c>
      <c r="BE343" s="2" t="str">
        <f>IF(LL[[#This Row],[Lab-confirmed?]]="Y",LL[[#This Row],[Test Date 2]],"")</f>
        <v/>
      </c>
      <c r="BF343" s="139" t="str">
        <f>IF(LL[[#This Row],[Date Reported to Public Health]]&gt;0,LL[[#This Row],[Date Reported to Public Health]],"")</f>
        <v/>
      </c>
      <c r="BG343" s="13" t="str">
        <f t="shared" si="5"/>
        <v/>
      </c>
    </row>
    <row r="344" spans="1:59" x14ac:dyDescent="0.3">
      <c r="A344" s="11">
        <v>340</v>
      </c>
      <c r="B344" s="12"/>
      <c r="C344" s="13"/>
      <c r="D344" s="12"/>
      <c r="E344" s="12"/>
      <c r="F344" s="12"/>
      <c r="G344" s="16"/>
      <c r="H344" s="12"/>
      <c r="I344" s="14"/>
      <c r="J344" s="137"/>
      <c r="K344" s="137"/>
      <c r="L344" s="18"/>
      <c r="M344" s="139"/>
      <c r="N344" s="140"/>
      <c r="O344" s="137"/>
      <c r="P344" s="137"/>
      <c r="Q344" s="15"/>
      <c r="R344" s="12"/>
      <c r="S344" s="12"/>
      <c r="T344" s="12"/>
      <c r="U344" s="14"/>
      <c r="V344" s="15"/>
      <c r="W344" s="12"/>
      <c r="X344" s="12"/>
      <c r="Y344" s="12"/>
      <c r="Z344" s="12"/>
      <c r="AA344" s="12"/>
      <c r="AB344" s="14"/>
      <c r="AC344" s="15"/>
      <c r="AD344" s="12"/>
      <c r="AE344" s="12"/>
      <c r="AF344" s="14"/>
      <c r="AG344" s="18"/>
      <c r="AH344" s="18"/>
      <c r="AI344" s="17"/>
      <c r="AJ344" s="181"/>
      <c r="AK344" s="13"/>
      <c r="AL344" s="181"/>
      <c r="AM344" s="175"/>
      <c r="AN344" s="192"/>
      <c r="AO344" s="13"/>
      <c r="AP344" s="181"/>
      <c r="AQ344" s="175"/>
      <c r="AR344" s="18"/>
      <c r="AS344" s="12"/>
      <c r="AT344" s="12"/>
      <c r="AU344" s="12"/>
      <c r="AV344" s="12"/>
      <c r="AW344" s="137"/>
      <c r="AX344" s="13"/>
      <c r="AY344" s="138"/>
      <c r="AZ344" s="140"/>
      <c r="BA344" s="18"/>
      <c r="BB344" s="18" t="e">
        <f>IF(#REF!&lt;&gt;0,IF(LL[[#This Row],[Date of Birth]]&lt;&gt;0,YEAR(#REF!-LL[[#This Row],[Date of Birth]])-1900,""),"")</f>
        <v>#REF!</v>
      </c>
      <c r="BC344" s="2" t="str">
        <f>IF(LL[[#This Row],[Sx Onset Date]]&gt;0,LL[[#This Row],[Sx Onset Date]],"")</f>
        <v/>
      </c>
      <c r="BD344" s="2" t="str">
        <f>IF(LL[[#This Row],[Lab-confirmed?]]="Y",LL[[#This Row],[Test Date]],"")</f>
        <v/>
      </c>
      <c r="BE344" s="2" t="str">
        <f>IF(LL[[#This Row],[Lab-confirmed?]]="Y",LL[[#This Row],[Test Date 2]],"")</f>
        <v/>
      </c>
      <c r="BF344" s="139" t="str">
        <f>IF(LL[[#This Row],[Date Reported to Public Health]]&gt;0,LL[[#This Row],[Date Reported to Public Health]],"")</f>
        <v/>
      </c>
      <c r="BG344" s="13" t="str">
        <f t="shared" si="5"/>
        <v/>
      </c>
    </row>
    <row r="345" spans="1:59" x14ac:dyDescent="0.3">
      <c r="A345" s="11">
        <v>341</v>
      </c>
      <c r="B345" s="12"/>
      <c r="C345" s="13"/>
      <c r="D345" s="12"/>
      <c r="E345" s="12"/>
      <c r="F345" s="12"/>
      <c r="G345" s="16"/>
      <c r="H345" s="12"/>
      <c r="I345" s="14"/>
      <c r="J345" s="137"/>
      <c r="K345" s="137"/>
      <c r="L345" s="18"/>
      <c r="M345" s="139"/>
      <c r="N345" s="140"/>
      <c r="O345" s="137"/>
      <c r="P345" s="137"/>
      <c r="Q345" s="15"/>
      <c r="R345" s="12"/>
      <c r="S345" s="12"/>
      <c r="T345" s="12"/>
      <c r="U345" s="14"/>
      <c r="V345" s="15"/>
      <c r="W345" s="12"/>
      <c r="X345" s="12"/>
      <c r="Y345" s="12"/>
      <c r="Z345" s="12"/>
      <c r="AA345" s="12"/>
      <c r="AB345" s="14"/>
      <c r="AC345" s="15"/>
      <c r="AD345" s="12"/>
      <c r="AE345" s="12"/>
      <c r="AF345" s="14"/>
      <c r="AG345" s="18"/>
      <c r="AH345" s="18"/>
      <c r="AI345" s="17"/>
      <c r="AJ345" s="181"/>
      <c r="AK345" s="13"/>
      <c r="AL345" s="181"/>
      <c r="AM345" s="175"/>
      <c r="AN345" s="192"/>
      <c r="AO345" s="13"/>
      <c r="AP345" s="181"/>
      <c r="AQ345" s="175"/>
      <c r="AR345" s="18"/>
      <c r="AS345" s="12"/>
      <c r="AT345" s="12"/>
      <c r="AU345" s="12"/>
      <c r="AV345" s="12"/>
      <c r="AW345" s="137"/>
      <c r="AX345" s="13"/>
      <c r="AY345" s="138"/>
      <c r="AZ345" s="140"/>
      <c r="BA345" s="18"/>
      <c r="BB345" s="18" t="e">
        <f>IF(#REF!&lt;&gt;0,IF(LL[[#This Row],[Date of Birth]]&lt;&gt;0,YEAR(#REF!-LL[[#This Row],[Date of Birth]])-1900,""),"")</f>
        <v>#REF!</v>
      </c>
      <c r="BC345" s="2" t="str">
        <f>IF(LL[[#This Row],[Sx Onset Date]]&gt;0,LL[[#This Row],[Sx Onset Date]],"")</f>
        <v/>
      </c>
      <c r="BD345" s="2" t="str">
        <f>IF(LL[[#This Row],[Lab-confirmed?]]="Y",LL[[#This Row],[Test Date]],"")</f>
        <v/>
      </c>
      <c r="BE345" s="2" t="str">
        <f>IF(LL[[#This Row],[Lab-confirmed?]]="Y",LL[[#This Row],[Test Date 2]],"")</f>
        <v/>
      </c>
      <c r="BF345" s="139" t="str">
        <f>IF(LL[[#This Row],[Date Reported to Public Health]]&gt;0,LL[[#This Row],[Date Reported to Public Health]],"")</f>
        <v/>
      </c>
      <c r="BG345" s="13" t="str">
        <f t="shared" si="5"/>
        <v/>
      </c>
    </row>
    <row r="346" spans="1:59" x14ac:dyDescent="0.3">
      <c r="A346" s="11">
        <v>342</v>
      </c>
      <c r="B346" s="12"/>
      <c r="C346" s="13"/>
      <c r="D346" s="12"/>
      <c r="E346" s="12"/>
      <c r="F346" s="12"/>
      <c r="G346" s="16"/>
      <c r="H346" s="12"/>
      <c r="I346" s="14"/>
      <c r="J346" s="137"/>
      <c r="K346" s="137"/>
      <c r="L346" s="18"/>
      <c r="M346" s="139"/>
      <c r="N346" s="140"/>
      <c r="O346" s="137"/>
      <c r="P346" s="137"/>
      <c r="Q346" s="15"/>
      <c r="R346" s="12"/>
      <c r="S346" s="12"/>
      <c r="T346" s="12"/>
      <c r="U346" s="14"/>
      <c r="V346" s="15"/>
      <c r="W346" s="12"/>
      <c r="X346" s="12"/>
      <c r="Y346" s="12"/>
      <c r="Z346" s="12"/>
      <c r="AA346" s="12"/>
      <c r="AB346" s="14"/>
      <c r="AC346" s="15"/>
      <c r="AD346" s="12"/>
      <c r="AE346" s="12"/>
      <c r="AF346" s="14"/>
      <c r="AG346" s="18"/>
      <c r="AH346" s="18"/>
      <c r="AI346" s="17"/>
      <c r="AJ346" s="181"/>
      <c r="AK346" s="13"/>
      <c r="AL346" s="181"/>
      <c r="AM346" s="175"/>
      <c r="AN346" s="192"/>
      <c r="AO346" s="13"/>
      <c r="AP346" s="181"/>
      <c r="AQ346" s="175"/>
      <c r="AR346" s="18"/>
      <c r="AS346" s="12"/>
      <c r="AT346" s="12"/>
      <c r="AU346" s="12"/>
      <c r="AV346" s="12"/>
      <c r="AW346" s="137"/>
      <c r="AX346" s="13"/>
      <c r="AY346" s="138"/>
      <c r="AZ346" s="140"/>
      <c r="BA346" s="18"/>
      <c r="BB346" s="18" t="e">
        <f>IF(#REF!&lt;&gt;0,IF(LL[[#This Row],[Date of Birth]]&lt;&gt;0,YEAR(#REF!-LL[[#This Row],[Date of Birth]])-1900,""),"")</f>
        <v>#REF!</v>
      </c>
      <c r="BC346" s="2" t="str">
        <f>IF(LL[[#This Row],[Sx Onset Date]]&gt;0,LL[[#This Row],[Sx Onset Date]],"")</f>
        <v/>
      </c>
      <c r="BD346" s="2" t="str">
        <f>IF(LL[[#This Row],[Lab-confirmed?]]="Y",LL[[#This Row],[Test Date]],"")</f>
        <v/>
      </c>
      <c r="BE346" s="2" t="str">
        <f>IF(LL[[#This Row],[Lab-confirmed?]]="Y",LL[[#This Row],[Test Date 2]],"")</f>
        <v/>
      </c>
      <c r="BF346" s="139" t="str">
        <f>IF(LL[[#This Row],[Date Reported to Public Health]]&gt;0,LL[[#This Row],[Date Reported to Public Health]],"")</f>
        <v/>
      </c>
      <c r="BG346" s="13" t="str">
        <f t="shared" si="5"/>
        <v/>
      </c>
    </row>
    <row r="347" spans="1:59" x14ac:dyDescent="0.3">
      <c r="A347" s="11">
        <v>343</v>
      </c>
      <c r="B347" s="12"/>
      <c r="C347" s="13"/>
      <c r="D347" s="12"/>
      <c r="E347" s="12"/>
      <c r="F347" s="12"/>
      <c r="G347" s="16"/>
      <c r="H347" s="12"/>
      <c r="I347" s="14"/>
      <c r="J347" s="137"/>
      <c r="K347" s="137"/>
      <c r="L347" s="18"/>
      <c r="M347" s="139"/>
      <c r="N347" s="140"/>
      <c r="O347" s="137"/>
      <c r="P347" s="137"/>
      <c r="Q347" s="15"/>
      <c r="R347" s="12"/>
      <c r="S347" s="12"/>
      <c r="T347" s="12"/>
      <c r="U347" s="14"/>
      <c r="V347" s="15"/>
      <c r="W347" s="12"/>
      <c r="X347" s="12"/>
      <c r="Y347" s="12"/>
      <c r="Z347" s="12"/>
      <c r="AA347" s="12"/>
      <c r="AB347" s="14"/>
      <c r="AC347" s="15"/>
      <c r="AD347" s="12"/>
      <c r="AE347" s="12"/>
      <c r="AF347" s="14"/>
      <c r="AG347" s="18"/>
      <c r="AH347" s="18"/>
      <c r="AI347" s="17"/>
      <c r="AJ347" s="181"/>
      <c r="AK347" s="13"/>
      <c r="AL347" s="181"/>
      <c r="AM347" s="175"/>
      <c r="AN347" s="192"/>
      <c r="AO347" s="13"/>
      <c r="AP347" s="181"/>
      <c r="AQ347" s="175"/>
      <c r="AR347" s="18"/>
      <c r="AS347" s="12"/>
      <c r="AT347" s="12"/>
      <c r="AU347" s="12"/>
      <c r="AV347" s="12"/>
      <c r="AW347" s="137"/>
      <c r="AX347" s="13"/>
      <c r="AY347" s="138"/>
      <c r="AZ347" s="140"/>
      <c r="BA347" s="18"/>
      <c r="BB347" s="18" t="e">
        <f>IF(#REF!&lt;&gt;0,IF(LL[[#This Row],[Date of Birth]]&lt;&gt;0,YEAR(#REF!-LL[[#This Row],[Date of Birth]])-1900,""),"")</f>
        <v>#REF!</v>
      </c>
      <c r="BC347" s="2" t="str">
        <f>IF(LL[[#This Row],[Sx Onset Date]]&gt;0,LL[[#This Row],[Sx Onset Date]],"")</f>
        <v/>
      </c>
      <c r="BD347" s="2" t="str">
        <f>IF(LL[[#This Row],[Lab-confirmed?]]="Y",LL[[#This Row],[Test Date]],"")</f>
        <v/>
      </c>
      <c r="BE347" s="2" t="str">
        <f>IF(LL[[#This Row],[Lab-confirmed?]]="Y",LL[[#This Row],[Test Date 2]],"")</f>
        <v/>
      </c>
      <c r="BF347" s="139" t="str">
        <f>IF(LL[[#This Row],[Date Reported to Public Health]]&gt;0,LL[[#This Row],[Date Reported to Public Health]],"")</f>
        <v/>
      </c>
      <c r="BG347" s="13" t="str">
        <f t="shared" si="5"/>
        <v/>
      </c>
    </row>
    <row r="348" spans="1:59" x14ac:dyDescent="0.3">
      <c r="A348" s="11">
        <v>344</v>
      </c>
      <c r="B348" s="12"/>
      <c r="C348" s="13"/>
      <c r="D348" s="12"/>
      <c r="E348" s="12"/>
      <c r="F348" s="12"/>
      <c r="G348" s="16"/>
      <c r="H348" s="12"/>
      <c r="I348" s="14"/>
      <c r="J348" s="137"/>
      <c r="K348" s="137"/>
      <c r="L348" s="18"/>
      <c r="M348" s="139"/>
      <c r="N348" s="140"/>
      <c r="O348" s="137"/>
      <c r="P348" s="137"/>
      <c r="Q348" s="15"/>
      <c r="R348" s="12"/>
      <c r="S348" s="12"/>
      <c r="T348" s="12"/>
      <c r="U348" s="14"/>
      <c r="V348" s="15"/>
      <c r="W348" s="12"/>
      <c r="X348" s="12"/>
      <c r="Y348" s="12"/>
      <c r="Z348" s="12"/>
      <c r="AA348" s="12"/>
      <c r="AB348" s="14"/>
      <c r="AC348" s="15"/>
      <c r="AD348" s="12"/>
      <c r="AE348" s="12"/>
      <c r="AF348" s="14"/>
      <c r="AG348" s="18"/>
      <c r="AH348" s="18"/>
      <c r="AI348" s="17"/>
      <c r="AJ348" s="181"/>
      <c r="AK348" s="13"/>
      <c r="AL348" s="181"/>
      <c r="AM348" s="175"/>
      <c r="AN348" s="192"/>
      <c r="AO348" s="13"/>
      <c r="AP348" s="181"/>
      <c r="AQ348" s="175"/>
      <c r="AR348" s="18"/>
      <c r="AS348" s="12"/>
      <c r="AT348" s="12"/>
      <c r="AU348" s="12"/>
      <c r="AV348" s="12"/>
      <c r="AW348" s="137"/>
      <c r="AX348" s="13"/>
      <c r="AY348" s="138"/>
      <c r="AZ348" s="140"/>
      <c r="BA348" s="18"/>
      <c r="BB348" s="18" t="e">
        <f>IF(#REF!&lt;&gt;0,IF(LL[[#This Row],[Date of Birth]]&lt;&gt;0,YEAR(#REF!-LL[[#This Row],[Date of Birth]])-1900,""),"")</f>
        <v>#REF!</v>
      </c>
      <c r="BC348" s="2" t="str">
        <f>IF(LL[[#This Row],[Sx Onset Date]]&gt;0,LL[[#This Row],[Sx Onset Date]],"")</f>
        <v/>
      </c>
      <c r="BD348" s="2" t="str">
        <f>IF(LL[[#This Row],[Lab-confirmed?]]="Y",LL[[#This Row],[Test Date]],"")</f>
        <v/>
      </c>
      <c r="BE348" s="2" t="str">
        <f>IF(LL[[#This Row],[Lab-confirmed?]]="Y",LL[[#This Row],[Test Date 2]],"")</f>
        <v/>
      </c>
      <c r="BF348" s="139" t="str">
        <f>IF(LL[[#This Row],[Date Reported to Public Health]]&gt;0,LL[[#This Row],[Date Reported to Public Health]],"")</f>
        <v/>
      </c>
      <c r="BG348" s="13" t="str">
        <f t="shared" si="5"/>
        <v/>
      </c>
    </row>
    <row r="349" spans="1:59" x14ac:dyDescent="0.3">
      <c r="A349" s="11">
        <v>345</v>
      </c>
      <c r="B349" s="12"/>
      <c r="C349" s="13"/>
      <c r="D349" s="12"/>
      <c r="E349" s="12"/>
      <c r="F349" s="12"/>
      <c r="G349" s="16"/>
      <c r="H349" s="12"/>
      <c r="I349" s="14"/>
      <c r="J349" s="137"/>
      <c r="K349" s="137"/>
      <c r="L349" s="18"/>
      <c r="M349" s="139"/>
      <c r="N349" s="140"/>
      <c r="O349" s="137"/>
      <c r="P349" s="137"/>
      <c r="Q349" s="15"/>
      <c r="R349" s="12"/>
      <c r="S349" s="12"/>
      <c r="T349" s="12"/>
      <c r="U349" s="14"/>
      <c r="V349" s="15"/>
      <c r="W349" s="12"/>
      <c r="X349" s="12"/>
      <c r="Y349" s="12"/>
      <c r="Z349" s="12"/>
      <c r="AA349" s="12"/>
      <c r="AB349" s="14"/>
      <c r="AC349" s="15"/>
      <c r="AD349" s="12"/>
      <c r="AE349" s="12"/>
      <c r="AF349" s="14"/>
      <c r="AG349" s="18"/>
      <c r="AH349" s="18"/>
      <c r="AI349" s="17"/>
      <c r="AJ349" s="181"/>
      <c r="AK349" s="13"/>
      <c r="AL349" s="181"/>
      <c r="AM349" s="175"/>
      <c r="AN349" s="192"/>
      <c r="AO349" s="13"/>
      <c r="AP349" s="181"/>
      <c r="AQ349" s="175"/>
      <c r="AR349" s="18"/>
      <c r="AS349" s="12"/>
      <c r="AT349" s="12"/>
      <c r="AU349" s="12"/>
      <c r="AV349" s="12"/>
      <c r="AW349" s="137"/>
      <c r="AX349" s="13"/>
      <c r="AY349" s="138"/>
      <c r="AZ349" s="140"/>
      <c r="BA349" s="18"/>
      <c r="BB349" s="18" t="e">
        <f>IF(#REF!&lt;&gt;0,IF(LL[[#This Row],[Date of Birth]]&lt;&gt;0,YEAR(#REF!-LL[[#This Row],[Date of Birth]])-1900,""),"")</f>
        <v>#REF!</v>
      </c>
      <c r="BC349" s="2" t="str">
        <f>IF(LL[[#This Row],[Sx Onset Date]]&gt;0,LL[[#This Row],[Sx Onset Date]],"")</f>
        <v/>
      </c>
      <c r="BD349" s="2" t="str">
        <f>IF(LL[[#This Row],[Lab-confirmed?]]="Y",LL[[#This Row],[Test Date]],"")</f>
        <v/>
      </c>
      <c r="BE349" s="2" t="str">
        <f>IF(LL[[#This Row],[Lab-confirmed?]]="Y",LL[[#This Row],[Test Date 2]],"")</f>
        <v/>
      </c>
      <c r="BF349" s="139" t="str">
        <f>IF(LL[[#This Row],[Date Reported to Public Health]]&gt;0,LL[[#This Row],[Date Reported to Public Health]],"")</f>
        <v/>
      </c>
      <c r="BG349" s="13" t="str">
        <f t="shared" si="5"/>
        <v/>
      </c>
    </row>
    <row r="350" spans="1:59" x14ac:dyDescent="0.3">
      <c r="A350" s="11">
        <v>346</v>
      </c>
      <c r="B350" s="12"/>
      <c r="C350" s="13"/>
      <c r="D350" s="12"/>
      <c r="E350" s="12"/>
      <c r="F350" s="12"/>
      <c r="G350" s="16"/>
      <c r="H350" s="12"/>
      <c r="I350" s="14"/>
      <c r="J350" s="137"/>
      <c r="K350" s="137"/>
      <c r="L350" s="18"/>
      <c r="M350" s="139"/>
      <c r="N350" s="140"/>
      <c r="O350" s="137"/>
      <c r="P350" s="137"/>
      <c r="Q350" s="15"/>
      <c r="R350" s="12"/>
      <c r="S350" s="12"/>
      <c r="T350" s="12"/>
      <c r="U350" s="14"/>
      <c r="V350" s="15"/>
      <c r="W350" s="12"/>
      <c r="X350" s="12"/>
      <c r="Y350" s="12"/>
      <c r="Z350" s="12"/>
      <c r="AA350" s="12"/>
      <c r="AB350" s="14"/>
      <c r="AC350" s="15"/>
      <c r="AD350" s="12"/>
      <c r="AE350" s="12"/>
      <c r="AF350" s="14"/>
      <c r="AG350" s="18"/>
      <c r="AH350" s="18"/>
      <c r="AI350" s="17"/>
      <c r="AJ350" s="181"/>
      <c r="AK350" s="13"/>
      <c r="AL350" s="181"/>
      <c r="AM350" s="175"/>
      <c r="AN350" s="192"/>
      <c r="AO350" s="13"/>
      <c r="AP350" s="181"/>
      <c r="AQ350" s="175"/>
      <c r="AR350" s="18"/>
      <c r="AS350" s="12"/>
      <c r="AT350" s="12"/>
      <c r="AU350" s="12"/>
      <c r="AV350" s="12"/>
      <c r="AW350" s="137"/>
      <c r="AX350" s="13"/>
      <c r="AY350" s="138"/>
      <c r="AZ350" s="140"/>
      <c r="BA350" s="18"/>
      <c r="BB350" s="18" t="e">
        <f>IF(#REF!&lt;&gt;0,IF(LL[[#This Row],[Date of Birth]]&lt;&gt;0,YEAR(#REF!-LL[[#This Row],[Date of Birth]])-1900,""),"")</f>
        <v>#REF!</v>
      </c>
      <c r="BC350" s="2" t="str">
        <f>IF(LL[[#This Row],[Sx Onset Date]]&gt;0,LL[[#This Row],[Sx Onset Date]],"")</f>
        <v/>
      </c>
      <c r="BD350" s="2" t="str">
        <f>IF(LL[[#This Row],[Lab-confirmed?]]="Y",LL[[#This Row],[Test Date]],"")</f>
        <v/>
      </c>
      <c r="BE350" s="2" t="str">
        <f>IF(LL[[#This Row],[Lab-confirmed?]]="Y",LL[[#This Row],[Test Date 2]],"")</f>
        <v/>
      </c>
      <c r="BF350" s="139" t="str">
        <f>IF(LL[[#This Row],[Date Reported to Public Health]]&gt;0,LL[[#This Row],[Date Reported to Public Health]],"")</f>
        <v/>
      </c>
      <c r="BG350" s="13" t="str">
        <f t="shared" si="5"/>
        <v/>
      </c>
    </row>
    <row r="351" spans="1:59" x14ac:dyDescent="0.3">
      <c r="A351" s="11">
        <v>347</v>
      </c>
      <c r="B351" s="12"/>
      <c r="C351" s="13"/>
      <c r="D351" s="12"/>
      <c r="E351" s="12"/>
      <c r="F351" s="12"/>
      <c r="G351" s="16"/>
      <c r="H351" s="12"/>
      <c r="I351" s="14"/>
      <c r="J351" s="137"/>
      <c r="K351" s="137"/>
      <c r="L351" s="18"/>
      <c r="M351" s="139"/>
      <c r="N351" s="140"/>
      <c r="O351" s="137"/>
      <c r="P351" s="137"/>
      <c r="Q351" s="15"/>
      <c r="R351" s="12"/>
      <c r="S351" s="12"/>
      <c r="T351" s="12"/>
      <c r="U351" s="14"/>
      <c r="V351" s="15"/>
      <c r="W351" s="12"/>
      <c r="X351" s="12"/>
      <c r="Y351" s="12"/>
      <c r="Z351" s="12"/>
      <c r="AA351" s="12"/>
      <c r="AB351" s="14"/>
      <c r="AC351" s="15"/>
      <c r="AD351" s="12"/>
      <c r="AE351" s="12"/>
      <c r="AF351" s="14"/>
      <c r="AG351" s="18"/>
      <c r="AH351" s="18"/>
      <c r="AI351" s="17"/>
      <c r="AJ351" s="181"/>
      <c r="AK351" s="13"/>
      <c r="AL351" s="181"/>
      <c r="AM351" s="175"/>
      <c r="AN351" s="192"/>
      <c r="AO351" s="13"/>
      <c r="AP351" s="181"/>
      <c r="AQ351" s="175"/>
      <c r="AR351" s="18"/>
      <c r="AS351" s="12"/>
      <c r="AT351" s="12"/>
      <c r="AU351" s="12"/>
      <c r="AV351" s="12"/>
      <c r="AW351" s="137"/>
      <c r="AX351" s="13"/>
      <c r="AY351" s="138"/>
      <c r="AZ351" s="140"/>
      <c r="BA351" s="18"/>
      <c r="BB351" s="18" t="e">
        <f>IF(#REF!&lt;&gt;0,IF(LL[[#This Row],[Date of Birth]]&lt;&gt;0,YEAR(#REF!-LL[[#This Row],[Date of Birth]])-1900,""),"")</f>
        <v>#REF!</v>
      </c>
      <c r="BC351" s="2" t="str">
        <f>IF(LL[[#This Row],[Sx Onset Date]]&gt;0,LL[[#This Row],[Sx Onset Date]],"")</f>
        <v/>
      </c>
      <c r="BD351" s="2" t="str">
        <f>IF(LL[[#This Row],[Lab-confirmed?]]="Y",LL[[#This Row],[Test Date]],"")</f>
        <v/>
      </c>
      <c r="BE351" s="2" t="str">
        <f>IF(LL[[#This Row],[Lab-confirmed?]]="Y",LL[[#This Row],[Test Date 2]],"")</f>
        <v/>
      </c>
      <c r="BF351" s="139" t="str">
        <f>IF(LL[[#This Row],[Date Reported to Public Health]]&gt;0,LL[[#This Row],[Date Reported to Public Health]],"")</f>
        <v/>
      </c>
      <c r="BG351" s="13" t="str">
        <f t="shared" si="5"/>
        <v/>
      </c>
    </row>
    <row r="352" spans="1:59" x14ac:dyDescent="0.3">
      <c r="A352" s="11">
        <v>348</v>
      </c>
      <c r="B352" s="12"/>
      <c r="C352" s="13"/>
      <c r="D352" s="12"/>
      <c r="E352" s="12"/>
      <c r="F352" s="12"/>
      <c r="G352" s="16"/>
      <c r="H352" s="12"/>
      <c r="I352" s="14"/>
      <c r="J352" s="137"/>
      <c r="K352" s="137"/>
      <c r="L352" s="18"/>
      <c r="M352" s="139"/>
      <c r="N352" s="140"/>
      <c r="O352" s="137"/>
      <c r="P352" s="137"/>
      <c r="Q352" s="15"/>
      <c r="R352" s="12"/>
      <c r="S352" s="12"/>
      <c r="T352" s="12"/>
      <c r="U352" s="14"/>
      <c r="V352" s="15"/>
      <c r="W352" s="12"/>
      <c r="X352" s="12"/>
      <c r="Y352" s="12"/>
      <c r="Z352" s="12"/>
      <c r="AA352" s="12"/>
      <c r="AB352" s="14"/>
      <c r="AC352" s="15"/>
      <c r="AD352" s="12"/>
      <c r="AE352" s="12"/>
      <c r="AF352" s="14"/>
      <c r="AG352" s="18"/>
      <c r="AH352" s="18"/>
      <c r="AI352" s="17"/>
      <c r="AJ352" s="181"/>
      <c r="AK352" s="13"/>
      <c r="AL352" s="181"/>
      <c r="AM352" s="175"/>
      <c r="AN352" s="192"/>
      <c r="AO352" s="13"/>
      <c r="AP352" s="181"/>
      <c r="AQ352" s="175"/>
      <c r="AR352" s="18"/>
      <c r="AS352" s="12"/>
      <c r="AT352" s="12"/>
      <c r="AU352" s="12"/>
      <c r="AV352" s="12"/>
      <c r="AW352" s="137"/>
      <c r="AX352" s="13"/>
      <c r="AY352" s="138"/>
      <c r="AZ352" s="140"/>
      <c r="BA352" s="18"/>
      <c r="BB352" s="18" t="e">
        <f>IF(#REF!&lt;&gt;0,IF(LL[[#This Row],[Date of Birth]]&lt;&gt;0,YEAR(#REF!-LL[[#This Row],[Date of Birth]])-1900,""),"")</f>
        <v>#REF!</v>
      </c>
      <c r="BC352" s="2" t="str">
        <f>IF(LL[[#This Row],[Sx Onset Date]]&gt;0,LL[[#This Row],[Sx Onset Date]],"")</f>
        <v/>
      </c>
      <c r="BD352" s="2" t="str">
        <f>IF(LL[[#This Row],[Lab-confirmed?]]="Y",LL[[#This Row],[Test Date]],"")</f>
        <v/>
      </c>
      <c r="BE352" s="2" t="str">
        <f>IF(LL[[#This Row],[Lab-confirmed?]]="Y",LL[[#This Row],[Test Date 2]],"")</f>
        <v/>
      </c>
      <c r="BF352" s="139" t="str">
        <f>IF(LL[[#This Row],[Date Reported to Public Health]]&gt;0,LL[[#This Row],[Date Reported to Public Health]],"")</f>
        <v/>
      </c>
      <c r="BG352" s="13" t="str">
        <f t="shared" si="5"/>
        <v/>
      </c>
    </row>
    <row r="353" spans="1:59" x14ac:dyDescent="0.3">
      <c r="A353" s="11">
        <v>349</v>
      </c>
      <c r="B353" s="12"/>
      <c r="C353" s="13"/>
      <c r="D353" s="12"/>
      <c r="E353" s="12"/>
      <c r="F353" s="12"/>
      <c r="G353" s="16"/>
      <c r="H353" s="12"/>
      <c r="I353" s="14"/>
      <c r="J353" s="137"/>
      <c r="K353" s="137"/>
      <c r="L353" s="18"/>
      <c r="M353" s="139"/>
      <c r="N353" s="140"/>
      <c r="O353" s="137"/>
      <c r="P353" s="137"/>
      <c r="Q353" s="15"/>
      <c r="R353" s="12"/>
      <c r="S353" s="12"/>
      <c r="T353" s="12"/>
      <c r="U353" s="14"/>
      <c r="V353" s="15"/>
      <c r="W353" s="12"/>
      <c r="X353" s="12"/>
      <c r="Y353" s="12"/>
      <c r="Z353" s="12"/>
      <c r="AA353" s="12"/>
      <c r="AB353" s="14"/>
      <c r="AC353" s="15"/>
      <c r="AD353" s="12"/>
      <c r="AE353" s="12"/>
      <c r="AF353" s="14"/>
      <c r="AG353" s="18"/>
      <c r="AH353" s="18"/>
      <c r="AI353" s="17"/>
      <c r="AJ353" s="181"/>
      <c r="AK353" s="13"/>
      <c r="AL353" s="181"/>
      <c r="AM353" s="175"/>
      <c r="AN353" s="192"/>
      <c r="AO353" s="13"/>
      <c r="AP353" s="181"/>
      <c r="AQ353" s="175"/>
      <c r="AR353" s="18"/>
      <c r="AS353" s="12"/>
      <c r="AT353" s="12"/>
      <c r="AU353" s="12"/>
      <c r="AV353" s="12"/>
      <c r="AW353" s="137"/>
      <c r="AX353" s="13"/>
      <c r="AY353" s="138"/>
      <c r="AZ353" s="140"/>
      <c r="BA353" s="18"/>
      <c r="BB353" s="18" t="e">
        <f>IF(#REF!&lt;&gt;0,IF(LL[[#This Row],[Date of Birth]]&lt;&gt;0,YEAR(#REF!-LL[[#This Row],[Date of Birth]])-1900,""),"")</f>
        <v>#REF!</v>
      </c>
      <c r="BC353" s="2" t="str">
        <f>IF(LL[[#This Row],[Sx Onset Date]]&gt;0,LL[[#This Row],[Sx Onset Date]],"")</f>
        <v/>
      </c>
      <c r="BD353" s="2" t="str">
        <f>IF(LL[[#This Row],[Lab-confirmed?]]="Y",LL[[#This Row],[Test Date]],"")</f>
        <v/>
      </c>
      <c r="BE353" s="2" t="str">
        <f>IF(LL[[#This Row],[Lab-confirmed?]]="Y",LL[[#This Row],[Test Date 2]],"")</f>
        <v/>
      </c>
      <c r="BF353" s="139" t="str">
        <f>IF(LL[[#This Row],[Date Reported to Public Health]]&gt;0,LL[[#This Row],[Date Reported to Public Health]],"")</f>
        <v/>
      </c>
      <c r="BG353" s="13" t="str">
        <f t="shared" si="5"/>
        <v/>
      </c>
    </row>
    <row r="354" spans="1:59" x14ac:dyDescent="0.3">
      <c r="A354" s="11">
        <v>350</v>
      </c>
      <c r="B354" s="12"/>
      <c r="C354" s="13"/>
      <c r="D354" s="12"/>
      <c r="E354" s="12"/>
      <c r="F354" s="12"/>
      <c r="G354" s="16"/>
      <c r="H354" s="12"/>
      <c r="I354" s="14"/>
      <c r="J354" s="137"/>
      <c r="K354" s="137"/>
      <c r="L354" s="18"/>
      <c r="M354" s="139"/>
      <c r="N354" s="140"/>
      <c r="O354" s="137"/>
      <c r="P354" s="137"/>
      <c r="Q354" s="15"/>
      <c r="R354" s="12"/>
      <c r="S354" s="12"/>
      <c r="T354" s="12"/>
      <c r="U354" s="14"/>
      <c r="V354" s="15"/>
      <c r="W354" s="12"/>
      <c r="X354" s="12"/>
      <c r="Y354" s="12"/>
      <c r="Z354" s="12"/>
      <c r="AA354" s="12"/>
      <c r="AB354" s="14"/>
      <c r="AC354" s="15"/>
      <c r="AD354" s="12"/>
      <c r="AE354" s="12"/>
      <c r="AF354" s="14"/>
      <c r="AG354" s="18"/>
      <c r="AH354" s="18"/>
      <c r="AI354" s="17"/>
      <c r="AJ354" s="181"/>
      <c r="AK354" s="13"/>
      <c r="AL354" s="181"/>
      <c r="AM354" s="175"/>
      <c r="AN354" s="192"/>
      <c r="AO354" s="13"/>
      <c r="AP354" s="181"/>
      <c r="AQ354" s="175"/>
      <c r="AR354" s="18"/>
      <c r="AS354" s="12"/>
      <c r="AT354" s="12"/>
      <c r="AU354" s="12"/>
      <c r="AV354" s="12"/>
      <c r="AW354" s="137"/>
      <c r="AX354" s="13"/>
      <c r="AY354" s="138"/>
      <c r="AZ354" s="140"/>
      <c r="BA354" s="18"/>
      <c r="BB354" s="18" t="e">
        <f>IF(#REF!&lt;&gt;0,IF(LL[[#This Row],[Date of Birth]]&lt;&gt;0,YEAR(#REF!-LL[[#This Row],[Date of Birth]])-1900,""),"")</f>
        <v>#REF!</v>
      </c>
      <c r="BC354" s="2" t="str">
        <f>IF(LL[[#This Row],[Sx Onset Date]]&gt;0,LL[[#This Row],[Sx Onset Date]],"")</f>
        <v/>
      </c>
      <c r="BD354" s="2" t="str">
        <f>IF(LL[[#This Row],[Lab-confirmed?]]="Y",LL[[#This Row],[Test Date]],"")</f>
        <v/>
      </c>
      <c r="BE354" s="2" t="str">
        <f>IF(LL[[#This Row],[Lab-confirmed?]]="Y",LL[[#This Row],[Test Date 2]],"")</f>
        <v/>
      </c>
      <c r="BF354" s="139" t="str">
        <f>IF(LL[[#This Row],[Date Reported to Public Health]]&gt;0,LL[[#This Row],[Date Reported to Public Health]],"")</f>
        <v/>
      </c>
      <c r="BG354" s="13" t="str">
        <f t="shared" si="5"/>
        <v/>
      </c>
    </row>
    <row r="355" spans="1:59" x14ac:dyDescent="0.3">
      <c r="A355" s="11">
        <v>351</v>
      </c>
      <c r="B355" s="12"/>
      <c r="C355" s="13"/>
      <c r="D355" s="12"/>
      <c r="E355" s="12"/>
      <c r="F355" s="12"/>
      <c r="G355" s="16"/>
      <c r="H355" s="12"/>
      <c r="I355" s="14"/>
      <c r="J355" s="137"/>
      <c r="K355" s="137"/>
      <c r="L355" s="18"/>
      <c r="M355" s="139"/>
      <c r="N355" s="140"/>
      <c r="O355" s="137"/>
      <c r="P355" s="137"/>
      <c r="Q355" s="15"/>
      <c r="R355" s="12"/>
      <c r="S355" s="12"/>
      <c r="T355" s="12"/>
      <c r="U355" s="14"/>
      <c r="V355" s="15"/>
      <c r="W355" s="12"/>
      <c r="X355" s="12"/>
      <c r="Y355" s="12"/>
      <c r="Z355" s="12"/>
      <c r="AA355" s="12"/>
      <c r="AB355" s="14"/>
      <c r="AC355" s="15"/>
      <c r="AD355" s="12"/>
      <c r="AE355" s="12"/>
      <c r="AF355" s="14"/>
      <c r="AG355" s="18"/>
      <c r="AH355" s="18"/>
      <c r="AI355" s="17"/>
      <c r="AJ355" s="181"/>
      <c r="AK355" s="13"/>
      <c r="AL355" s="181"/>
      <c r="AM355" s="175"/>
      <c r="AN355" s="192"/>
      <c r="AO355" s="13"/>
      <c r="AP355" s="181"/>
      <c r="AQ355" s="175"/>
      <c r="AR355" s="18"/>
      <c r="AS355" s="12"/>
      <c r="AT355" s="12"/>
      <c r="AU355" s="12"/>
      <c r="AV355" s="12"/>
      <c r="AW355" s="137"/>
      <c r="AX355" s="13"/>
      <c r="AY355" s="138"/>
      <c r="AZ355" s="140"/>
      <c r="BA355" s="18"/>
      <c r="BB355" s="18" t="e">
        <f>IF(#REF!&lt;&gt;0,IF(LL[[#This Row],[Date of Birth]]&lt;&gt;0,YEAR(#REF!-LL[[#This Row],[Date of Birth]])-1900,""),"")</f>
        <v>#REF!</v>
      </c>
      <c r="BC355" s="2" t="str">
        <f>IF(LL[[#This Row],[Sx Onset Date]]&gt;0,LL[[#This Row],[Sx Onset Date]],"")</f>
        <v/>
      </c>
      <c r="BD355" s="2" t="str">
        <f>IF(LL[[#This Row],[Lab-confirmed?]]="Y",LL[[#This Row],[Test Date]],"")</f>
        <v/>
      </c>
      <c r="BE355" s="2" t="str">
        <f>IF(LL[[#This Row],[Lab-confirmed?]]="Y",LL[[#This Row],[Test Date 2]],"")</f>
        <v/>
      </c>
      <c r="BF355" s="139" t="str">
        <f>IF(LL[[#This Row],[Date Reported to Public Health]]&gt;0,LL[[#This Row],[Date Reported to Public Health]],"")</f>
        <v/>
      </c>
      <c r="BG355" s="13" t="str">
        <f t="shared" si="5"/>
        <v/>
      </c>
    </row>
    <row r="356" spans="1:59" x14ac:dyDescent="0.3">
      <c r="A356" s="11">
        <v>352</v>
      </c>
      <c r="B356" s="12"/>
      <c r="C356" s="13"/>
      <c r="D356" s="12"/>
      <c r="E356" s="12"/>
      <c r="F356" s="12"/>
      <c r="G356" s="16"/>
      <c r="H356" s="12"/>
      <c r="I356" s="14"/>
      <c r="J356" s="137"/>
      <c r="K356" s="137"/>
      <c r="L356" s="18"/>
      <c r="M356" s="139"/>
      <c r="N356" s="140"/>
      <c r="O356" s="137"/>
      <c r="P356" s="137"/>
      <c r="Q356" s="15"/>
      <c r="R356" s="12"/>
      <c r="S356" s="12"/>
      <c r="T356" s="12"/>
      <c r="U356" s="14"/>
      <c r="V356" s="15"/>
      <c r="W356" s="12"/>
      <c r="X356" s="12"/>
      <c r="Y356" s="12"/>
      <c r="Z356" s="12"/>
      <c r="AA356" s="12"/>
      <c r="AB356" s="14"/>
      <c r="AC356" s="15"/>
      <c r="AD356" s="12"/>
      <c r="AE356" s="12"/>
      <c r="AF356" s="14"/>
      <c r="AG356" s="18"/>
      <c r="AH356" s="18"/>
      <c r="AI356" s="17"/>
      <c r="AJ356" s="181"/>
      <c r="AK356" s="13"/>
      <c r="AL356" s="181"/>
      <c r="AM356" s="175"/>
      <c r="AN356" s="192"/>
      <c r="AO356" s="13"/>
      <c r="AP356" s="181"/>
      <c r="AQ356" s="175"/>
      <c r="AR356" s="18"/>
      <c r="AS356" s="12"/>
      <c r="AT356" s="12"/>
      <c r="AU356" s="12"/>
      <c r="AV356" s="12"/>
      <c r="AW356" s="137"/>
      <c r="AX356" s="13"/>
      <c r="AY356" s="138"/>
      <c r="AZ356" s="140"/>
      <c r="BA356" s="18"/>
      <c r="BB356" s="18" t="e">
        <f>IF(#REF!&lt;&gt;0,IF(LL[[#This Row],[Date of Birth]]&lt;&gt;0,YEAR(#REF!-LL[[#This Row],[Date of Birth]])-1900,""),"")</f>
        <v>#REF!</v>
      </c>
      <c r="BC356" s="2" t="str">
        <f>IF(LL[[#This Row],[Sx Onset Date]]&gt;0,LL[[#This Row],[Sx Onset Date]],"")</f>
        <v/>
      </c>
      <c r="BD356" s="2" t="str">
        <f>IF(LL[[#This Row],[Lab-confirmed?]]="Y",LL[[#This Row],[Test Date]],"")</f>
        <v/>
      </c>
      <c r="BE356" s="2" t="str">
        <f>IF(LL[[#This Row],[Lab-confirmed?]]="Y",LL[[#This Row],[Test Date 2]],"")</f>
        <v/>
      </c>
      <c r="BF356" s="139" t="str">
        <f>IF(LL[[#This Row],[Date Reported to Public Health]]&gt;0,LL[[#This Row],[Date Reported to Public Health]],"")</f>
        <v/>
      </c>
      <c r="BG356" s="13" t="str">
        <f t="shared" si="5"/>
        <v/>
      </c>
    </row>
    <row r="357" spans="1:59" x14ac:dyDescent="0.3">
      <c r="A357" s="11">
        <v>353</v>
      </c>
      <c r="B357" s="12"/>
      <c r="C357" s="13"/>
      <c r="D357" s="12"/>
      <c r="E357" s="12"/>
      <c r="F357" s="12"/>
      <c r="G357" s="16"/>
      <c r="H357" s="12"/>
      <c r="I357" s="14"/>
      <c r="J357" s="137"/>
      <c r="K357" s="137"/>
      <c r="L357" s="18"/>
      <c r="M357" s="139"/>
      <c r="N357" s="140"/>
      <c r="O357" s="137"/>
      <c r="P357" s="137"/>
      <c r="Q357" s="15"/>
      <c r="R357" s="12"/>
      <c r="S357" s="12"/>
      <c r="T357" s="12"/>
      <c r="U357" s="14"/>
      <c r="V357" s="15"/>
      <c r="W357" s="12"/>
      <c r="X357" s="12"/>
      <c r="Y357" s="12"/>
      <c r="Z357" s="12"/>
      <c r="AA357" s="12"/>
      <c r="AB357" s="14"/>
      <c r="AC357" s="15"/>
      <c r="AD357" s="12"/>
      <c r="AE357" s="12"/>
      <c r="AF357" s="14"/>
      <c r="AG357" s="18"/>
      <c r="AH357" s="18"/>
      <c r="AI357" s="17"/>
      <c r="AJ357" s="181"/>
      <c r="AK357" s="13"/>
      <c r="AL357" s="181"/>
      <c r="AM357" s="175"/>
      <c r="AN357" s="192"/>
      <c r="AO357" s="13"/>
      <c r="AP357" s="181"/>
      <c r="AQ357" s="175"/>
      <c r="AR357" s="18"/>
      <c r="AS357" s="12"/>
      <c r="AT357" s="12"/>
      <c r="AU357" s="12"/>
      <c r="AV357" s="12"/>
      <c r="AW357" s="137"/>
      <c r="AX357" s="13"/>
      <c r="AY357" s="138"/>
      <c r="AZ357" s="140"/>
      <c r="BA357" s="18"/>
      <c r="BB357" s="18" t="e">
        <f>IF(#REF!&lt;&gt;0,IF(LL[[#This Row],[Date of Birth]]&lt;&gt;0,YEAR(#REF!-LL[[#This Row],[Date of Birth]])-1900,""),"")</f>
        <v>#REF!</v>
      </c>
      <c r="BC357" s="2" t="str">
        <f>IF(LL[[#This Row],[Sx Onset Date]]&gt;0,LL[[#This Row],[Sx Onset Date]],"")</f>
        <v/>
      </c>
      <c r="BD357" s="2" t="str">
        <f>IF(LL[[#This Row],[Lab-confirmed?]]="Y",LL[[#This Row],[Test Date]],"")</f>
        <v/>
      </c>
      <c r="BE357" s="2" t="str">
        <f>IF(LL[[#This Row],[Lab-confirmed?]]="Y",LL[[#This Row],[Test Date 2]],"")</f>
        <v/>
      </c>
      <c r="BF357" s="139" t="str">
        <f>IF(LL[[#This Row],[Date Reported to Public Health]]&gt;0,LL[[#This Row],[Date Reported to Public Health]],"")</f>
        <v/>
      </c>
      <c r="BG357" s="13" t="str">
        <f t="shared" si="5"/>
        <v/>
      </c>
    </row>
    <row r="358" spans="1:59" x14ac:dyDescent="0.3">
      <c r="A358" s="11">
        <v>354</v>
      </c>
      <c r="B358" s="12"/>
      <c r="C358" s="13"/>
      <c r="D358" s="12"/>
      <c r="E358" s="12"/>
      <c r="F358" s="12"/>
      <c r="G358" s="16"/>
      <c r="H358" s="12"/>
      <c r="I358" s="14"/>
      <c r="J358" s="137"/>
      <c r="K358" s="137"/>
      <c r="L358" s="18"/>
      <c r="M358" s="139"/>
      <c r="N358" s="140"/>
      <c r="O358" s="137"/>
      <c r="P358" s="137"/>
      <c r="Q358" s="15"/>
      <c r="R358" s="12"/>
      <c r="S358" s="12"/>
      <c r="T358" s="12"/>
      <c r="U358" s="14"/>
      <c r="V358" s="15"/>
      <c r="W358" s="12"/>
      <c r="X358" s="12"/>
      <c r="Y358" s="12"/>
      <c r="Z358" s="12"/>
      <c r="AA358" s="12"/>
      <c r="AB358" s="14"/>
      <c r="AC358" s="15"/>
      <c r="AD358" s="12"/>
      <c r="AE358" s="12"/>
      <c r="AF358" s="14"/>
      <c r="AG358" s="18"/>
      <c r="AH358" s="18"/>
      <c r="AI358" s="17"/>
      <c r="AJ358" s="181"/>
      <c r="AK358" s="13"/>
      <c r="AL358" s="181"/>
      <c r="AM358" s="175"/>
      <c r="AN358" s="192"/>
      <c r="AO358" s="13"/>
      <c r="AP358" s="181"/>
      <c r="AQ358" s="175"/>
      <c r="AR358" s="18"/>
      <c r="AS358" s="12"/>
      <c r="AT358" s="12"/>
      <c r="AU358" s="12"/>
      <c r="AV358" s="12"/>
      <c r="AW358" s="137"/>
      <c r="AX358" s="13"/>
      <c r="AY358" s="138"/>
      <c r="AZ358" s="140"/>
      <c r="BA358" s="18"/>
      <c r="BB358" s="18" t="e">
        <f>IF(#REF!&lt;&gt;0,IF(LL[[#This Row],[Date of Birth]]&lt;&gt;0,YEAR(#REF!-LL[[#This Row],[Date of Birth]])-1900,""),"")</f>
        <v>#REF!</v>
      </c>
      <c r="BC358" s="2" t="str">
        <f>IF(LL[[#This Row],[Sx Onset Date]]&gt;0,LL[[#This Row],[Sx Onset Date]],"")</f>
        <v/>
      </c>
      <c r="BD358" s="2" t="str">
        <f>IF(LL[[#This Row],[Lab-confirmed?]]="Y",LL[[#This Row],[Test Date]],"")</f>
        <v/>
      </c>
      <c r="BE358" s="2" t="str">
        <f>IF(LL[[#This Row],[Lab-confirmed?]]="Y",LL[[#This Row],[Test Date 2]],"")</f>
        <v/>
      </c>
      <c r="BF358" s="139" t="str">
        <f>IF(LL[[#This Row],[Date Reported to Public Health]]&gt;0,LL[[#This Row],[Date Reported to Public Health]],"")</f>
        <v/>
      </c>
      <c r="BG358" s="13" t="str">
        <f t="shared" si="5"/>
        <v/>
      </c>
    </row>
    <row r="359" spans="1:59" x14ac:dyDescent="0.3">
      <c r="A359" s="11">
        <v>355</v>
      </c>
      <c r="B359" s="12"/>
      <c r="C359" s="13"/>
      <c r="D359" s="12"/>
      <c r="E359" s="12"/>
      <c r="F359" s="12"/>
      <c r="G359" s="16"/>
      <c r="H359" s="12"/>
      <c r="I359" s="14"/>
      <c r="J359" s="137"/>
      <c r="K359" s="137"/>
      <c r="L359" s="18"/>
      <c r="M359" s="139"/>
      <c r="N359" s="140"/>
      <c r="O359" s="137"/>
      <c r="P359" s="137"/>
      <c r="Q359" s="15"/>
      <c r="R359" s="12"/>
      <c r="S359" s="12"/>
      <c r="T359" s="12"/>
      <c r="U359" s="14"/>
      <c r="V359" s="15"/>
      <c r="W359" s="12"/>
      <c r="X359" s="12"/>
      <c r="Y359" s="12"/>
      <c r="Z359" s="12"/>
      <c r="AA359" s="12"/>
      <c r="AB359" s="14"/>
      <c r="AC359" s="15"/>
      <c r="AD359" s="12"/>
      <c r="AE359" s="12"/>
      <c r="AF359" s="14"/>
      <c r="AG359" s="18"/>
      <c r="AH359" s="18"/>
      <c r="AI359" s="17"/>
      <c r="AJ359" s="181"/>
      <c r="AK359" s="13"/>
      <c r="AL359" s="181"/>
      <c r="AM359" s="175"/>
      <c r="AN359" s="192"/>
      <c r="AO359" s="13"/>
      <c r="AP359" s="181"/>
      <c r="AQ359" s="175"/>
      <c r="AR359" s="18"/>
      <c r="AS359" s="12"/>
      <c r="AT359" s="12"/>
      <c r="AU359" s="12"/>
      <c r="AV359" s="12"/>
      <c r="AW359" s="137"/>
      <c r="AX359" s="13"/>
      <c r="AY359" s="138"/>
      <c r="AZ359" s="140"/>
      <c r="BA359" s="18"/>
      <c r="BB359" s="18" t="e">
        <f>IF(#REF!&lt;&gt;0,IF(LL[[#This Row],[Date of Birth]]&lt;&gt;0,YEAR(#REF!-LL[[#This Row],[Date of Birth]])-1900,""),"")</f>
        <v>#REF!</v>
      </c>
      <c r="BC359" s="2" t="str">
        <f>IF(LL[[#This Row],[Sx Onset Date]]&gt;0,LL[[#This Row],[Sx Onset Date]],"")</f>
        <v/>
      </c>
      <c r="BD359" s="2" t="str">
        <f>IF(LL[[#This Row],[Lab-confirmed?]]="Y",LL[[#This Row],[Test Date]],"")</f>
        <v/>
      </c>
      <c r="BE359" s="2" t="str">
        <f>IF(LL[[#This Row],[Lab-confirmed?]]="Y",LL[[#This Row],[Test Date 2]],"")</f>
        <v/>
      </c>
      <c r="BF359" s="139" t="str">
        <f>IF(LL[[#This Row],[Date Reported to Public Health]]&gt;0,LL[[#This Row],[Date Reported to Public Health]],"")</f>
        <v/>
      </c>
      <c r="BG359" s="13" t="str">
        <f t="shared" si="5"/>
        <v/>
      </c>
    </row>
    <row r="360" spans="1:59" x14ac:dyDescent="0.3">
      <c r="A360" s="11">
        <v>356</v>
      </c>
      <c r="B360" s="12"/>
      <c r="C360" s="13"/>
      <c r="D360" s="12"/>
      <c r="E360" s="12"/>
      <c r="F360" s="12"/>
      <c r="G360" s="16"/>
      <c r="H360" s="12"/>
      <c r="I360" s="14"/>
      <c r="J360" s="137"/>
      <c r="K360" s="137"/>
      <c r="L360" s="18"/>
      <c r="M360" s="139"/>
      <c r="N360" s="140"/>
      <c r="O360" s="137"/>
      <c r="P360" s="137"/>
      <c r="Q360" s="15"/>
      <c r="R360" s="12"/>
      <c r="S360" s="12"/>
      <c r="T360" s="12"/>
      <c r="U360" s="14"/>
      <c r="V360" s="15"/>
      <c r="W360" s="12"/>
      <c r="X360" s="12"/>
      <c r="Y360" s="12"/>
      <c r="Z360" s="12"/>
      <c r="AA360" s="12"/>
      <c r="AB360" s="14"/>
      <c r="AC360" s="15"/>
      <c r="AD360" s="12"/>
      <c r="AE360" s="12"/>
      <c r="AF360" s="14"/>
      <c r="AG360" s="18"/>
      <c r="AH360" s="18"/>
      <c r="AI360" s="17"/>
      <c r="AJ360" s="181"/>
      <c r="AK360" s="13"/>
      <c r="AL360" s="181"/>
      <c r="AM360" s="175"/>
      <c r="AN360" s="192"/>
      <c r="AO360" s="13"/>
      <c r="AP360" s="181"/>
      <c r="AQ360" s="175"/>
      <c r="AR360" s="18"/>
      <c r="AS360" s="12"/>
      <c r="AT360" s="12"/>
      <c r="AU360" s="12"/>
      <c r="AV360" s="12"/>
      <c r="AW360" s="137"/>
      <c r="AX360" s="13"/>
      <c r="AY360" s="138"/>
      <c r="AZ360" s="140"/>
      <c r="BA360" s="18"/>
      <c r="BB360" s="18" t="e">
        <f>IF(#REF!&lt;&gt;0,IF(LL[[#This Row],[Date of Birth]]&lt;&gt;0,YEAR(#REF!-LL[[#This Row],[Date of Birth]])-1900,""),"")</f>
        <v>#REF!</v>
      </c>
      <c r="BC360" s="2" t="str">
        <f>IF(LL[[#This Row],[Sx Onset Date]]&gt;0,LL[[#This Row],[Sx Onset Date]],"")</f>
        <v/>
      </c>
      <c r="BD360" s="2" t="str">
        <f>IF(LL[[#This Row],[Lab-confirmed?]]="Y",LL[[#This Row],[Test Date]],"")</f>
        <v/>
      </c>
      <c r="BE360" s="2" t="str">
        <f>IF(LL[[#This Row],[Lab-confirmed?]]="Y",LL[[#This Row],[Test Date 2]],"")</f>
        <v/>
      </c>
      <c r="BF360" s="139" t="str">
        <f>IF(LL[[#This Row],[Date Reported to Public Health]]&gt;0,LL[[#This Row],[Date Reported to Public Health]],"")</f>
        <v/>
      </c>
      <c r="BG360" s="13" t="str">
        <f t="shared" si="5"/>
        <v/>
      </c>
    </row>
    <row r="361" spans="1:59" x14ac:dyDescent="0.3">
      <c r="A361" s="11">
        <v>357</v>
      </c>
      <c r="B361" s="12"/>
      <c r="C361" s="13"/>
      <c r="D361" s="12"/>
      <c r="E361" s="12"/>
      <c r="F361" s="12"/>
      <c r="G361" s="16"/>
      <c r="H361" s="12"/>
      <c r="I361" s="14"/>
      <c r="J361" s="137"/>
      <c r="K361" s="137"/>
      <c r="L361" s="18"/>
      <c r="M361" s="139"/>
      <c r="N361" s="140"/>
      <c r="O361" s="137"/>
      <c r="P361" s="137"/>
      <c r="Q361" s="15"/>
      <c r="R361" s="12"/>
      <c r="S361" s="12"/>
      <c r="T361" s="12"/>
      <c r="U361" s="14"/>
      <c r="V361" s="15"/>
      <c r="W361" s="12"/>
      <c r="X361" s="12"/>
      <c r="Y361" s="12"/>
      <c r="Z361" s="12"/>
      <c r="AA361" s="12"/>
      <c r="AB361" s="14"/>
      <c r="AC361" s="15"/>
      <c r="AD361" s="12"/>
      <c r="AE361" s="12"/>
      <c r="AF361" s="14"/>
      <c r="AG361" s="18"/>
      <c r="AH361" s="18"/>
      <c r="AI361" s="17"/>
      <c r="AJ361" s="181"/>
      <c r="AK361" s="13"/>
      <c r="AL361" s="181"/>
      <c r="AM361" s="175"/>
      <c r="AN361" s="192"/>
      <c r="AO361" s="13"/>
      <c r="AP361" s="181"/>
      <c r="AQ361" s="175"/>
      <c r="AR361" s="18"/>
      <c r="AS361" s="12"/>
      <c r="AT361" s="12"/>
      <c r="AU361" s="12"/>
      <c r="AV361" s="12"/>
      <c r="AW361" s="137"/>
      <c r="AX361" s="13"/>
      <c r="AY361" s="138"/>
      <c r="AZ361" s="140"/>
      <c r="BA361" s="18"/>
      <c r="BB361" s="18" t="e">
        <f>IF(#REF!&lt;&gt;0,IF(LL[[#This Row],[Date of Birth]]&lt;&gt;0,YEAR(#REF!-LL[[#This Row],[Date of Birth]])-1900,""),"")</f>
        <v>#REF!</v>
      </c>
      <c r="BC361" s="2" t="str">
        <f>IF(LL[[#This Row],[Sx Onset Date]]&gt;0,LL[[#This Row],[Sx Onset Date]],"")</f>
        <v/>
      </c>
      <c r="BD361" s="2" t="str">
        <f>IF(LL[[#This Row],[Lab-confirmed?]]="Y",LL[[#This Row],[Test Date]],"")</f>
        <v/>
      </c>
      <c r="BE361" s="2" t="str">
        <f>IF(LL[[#This Row],[Lab-confirmed?]]="Y",LL[[#This Row],[Test Date 2]],"")</f>
        <v/>
      </c>
      <c r="BF361" s="139" t="str">
        <f>IF(LL[[#This Row],[Date Reported to Public Health]]&gt;0,LL[[#This Row],[Date Reported to Public Health]],"")</f>
        <v/>
      </c>
      <c r="BG361" s="13" t="str">
        <f t="shared" si="5"/>
        <v/>
      </c>
    </row>
    <row r="362" spans="1:59" x14ac:dyDescent="0.3">
      <c r="A362" s="11">
        <v>358</v>
      </c>
      <c r="B362" s="12"/>
      <c r="C362" s="13"/>
      <c r="D362" s="12"/>
      <c r="E362" s="12"/>
      <c r="F362" s="12"/>
      <c r="G362" s="16"/>
      <c r="H362" s="12"/>
      <c r="I362" s="14"/>
      <c r="J362" s="137"/>
      <c r="K362" s="137"/>
      <c r="L362" s="18"/>
      <c r="M362" s="139"/>
      <c r="N362" s="140"/>
      <c r="O362" s="137"/>
      <c r="P362" s="137"/>
      <c r="Q362" s="15"/>
      <c r="R362" s="12"/>
      <c r="S362" s="12"/>
      <c r="T362" s="12"/>
      <c r="U362" s="14"/>
      <c r="V362" s="15"/>
      <c r="W362" s="12"/>
      <c r="X362" s="12"/>
      <c r="Y362" s="12"/>
      <c r="Z362" s="12"/>
      <c r="AA362" s="12"/>
      <c r="AB362" s="14"/>
      <c r="AC362" s="15"/>
      <c r="AD362" s="12"/>
      <c r="AE362" s="12"/>
      <c r="AF362" s="14"/>
      <c r="AG362" s="18"/>
      <c r="AH362" s="18"/>
      <c r="AI362" s="17"/>
      <c r="AJ362" s="181"/>
      <c r="AK362" s="13"/>
      <c r="AL362" s="181"/>
      <c r="AM362" s="175"/>
      <c r="AN362" s="192"/>
      <c r="AO362" s="13"/>
      <c r="AP362" s="181"/>
      <c r="AQ362" s="175"/>
      <c r="AR362" s="18"/>
      <c r="AS362" s="12"/>
      <c r="AT362" s="12"/>
      <c r="AU362" s="12"/>
      <c r="AV362" s="12"/>
      <c r="AW362" s="137"/>
      <c r="AX362" s="13"/>
      <c r="AY362" s="138"/>
      <c r="AZ362" s="140"/>
      <c r="BA362" s="18"/>
      <c r="BB362" s="18" t="e">
        <f>IF(#REF!&lt;&gt;0,IF(LL[[#This Row],[Date of Birth]]&lt;&gt;0,YEAR(#REF!-LL[[#This Row],[Date of Birth]])-1900,""),"")</f>
        <v>#REF!</v>
      </c>
      <c r="BC362" s="2" t="str">
        <f>IF(LL[[#This Row],[Sx Onset Date]]&gt;0,LL[[#This Row],[Sx Onset Date]],"")</f>
        <v/>
      </c>
      <c r="BD362" s="2" t="str">
        <f>IF(LL[[#This Row],[Lab-confirmed?]]="Y",LL[[#This Row],[Test Date]],"")</f>
        <v/>
      </c>
      <c r="BE362" s="2" t="str">
        <f>IF(LL[[#This Row],[Lab-confirmed?]]="Y",LL[[#This Row],[Test Date 2]],"")</f>
        <v/>
      </c>
      <c r="BF362" s="139" t="str">
        <f>IF(LL[[#This Row],[Date Reported to Public Health]]&gt;0,LL[[#This Row],[Date Reported to Public Health]],"")</f>
        <v/>
      </c>
      <c r="BG362" s="13" t="str">
        <f t="shared" si="5"/>
        <v/>
      </c>
    </row>
    <row r="363" spans="1:59" x14ac:dyDescent="0.3">
      <c r="A363" s="11">
        <v>359</v>
      </c>
      <c r="B363" s="12"/>
      <c r="C363" s="13"/>
      <c r="D363" s="12"/>
      <c r="E363" s="12"/>
      <c r="F363" s="12"/>
      <c r="G363" s="16"/>
      <c r="H363" s="12"/>
      <c r="I363" s="14"/>
      <c r="J363" s="137"/>
      <c r="K363" s="137"/>
      <c r="L363" s="18"/>
      <c r="M363" s="139"/>
      <c r="N363" s="140"/>
      <c r="O363" s="137"/>
      <c r="P363" s="137"/>
      <c r="Q363" s="15"/>
      <c r="R363" s="12"/>
      <c r="S363" s="12"/>
      <c r="T363" s="12"/>
      <c r="U363" s="14"/>
      <c r="V363" s="15"/>
      <c r="W363" s="12"/>
      <c r="X363" s="12"/>
      <c r="Y363" s="12"/>
      <c r="Z363" s="12"/>
      <c r="AA363" s="12"/>
      <c r="AB363" s="14"/>
      <c r="AC363" s="15"/>
      <c r="AD363" s="12"/>
      <c r="AE363" s="12"/>
      <c r="AF363" s="14"/>
      <c r="AG363" s="18"/>
      <c r="AH363" s="18"/>
      <c r="AI363" s="17"/>
      <c r="AJ363" s="181"/>
      <c r="AK363" s="13"/>
      <c r="AL363" s="181"/>
      <c r="AM363" s="175"/>
      <c r="AN363" s="192"/>
      <c r="AO363" s="13"/>
      <c r="AP363" s="181"/>
      <c r="AQ363" s="175"/>
      <c r="AR363" s="18"/>
      <c r="AS363" s="12"/>
      <c r="AT363" s="12"/>
      <c r="AU363" s="12"/>
      <c r="AV363" s="12"/>
      <c r="AW363" s="137"/>
      <c r="AX363" s="13"/>
      <c r="AY363" s="138"/>
      <c r="AZ363" s="140"/>
      <c r="BA363" s="18"/>
      <c r="BB363" s="18" t="e">
        <f>IF(#REF!&lt;&gt;0,IF(LL[[#This Row],[Date of Birth]]&lt;&gt;0,YEAR(#REF!-LL[[#This Row],[Date of Birth]])-1900,""),"")</f>
        <v>#REF!</v>
      </c>
      <c r="BC363" s="2" t="str">
        <f>IF(LL[[#This Row],[Sx Onset Date]]&gt;0,LL[[#This Row],[Sx Onset Date]],"")</f>
        <v/>
      </c>
      <c r="BD363" s="2" t="str">
        <f>IF(LL[[#This Row],[Lab-confirmed?]]="Y",LL[[#This Row],[Test Date]],"")</f>
        <v/>
      </c>
      <c r="BE363" s="2" t="str">
        <f>IF(LL[[#This Row],[Lab-confirmed?]]="Y",LL[[#This Row],[Test Date 2]],"")</f>
        <v/>
      </c>
      <c r="BF363" s="139" t="str">
        <f>IF(LL[[#This Row],[Date Reported to Public Health]]&gt;0,LL[[#This Row],[Date Reported to Public Health]],"")</f>
        <v/>
      </c>
      <c r="BG363" s="13" t="str">
        <f t="shared" si="5"/>
        <v/>
      </c>
    </row>
    <row r="364" spans="1:59" x14ac:dyDescent="0.3">
      <c r="A364" s="11">
        <v>360</v>
      </c>
      <c r="B364" s="12"/>
      <c r="C364" s="13"/>
      <c r="D364" s="12"/>
      <c r="E364" s="12"/>
      <c r="F364" s="12"/>
      <c r="G364" s="16"/>
      <c r="H364" s="12"/>
      <c r="I364" s="14"/>
      <c r="J364" s="137"/>
      <c r="K364" s="137"/>
      <c r="L364" s="18"/>
      <c r="M364" s="139"/>
      <c r="N364" s="140"/>
      <c r="O364" s="137"/>
      <c r="P364" s="137"/>
      <c r="Q364" s="15"/>
      <c r="R364" s="12"/>
      <c r="S364" s="12"/>
      <c r="T364" s="12"/>
      <c r="U364" s="14"/>
      <c r="V364" s="15"/>
      <c r="W364" s="12"/>
      <c r="X364" s="12"/>
      <c r="Y364" s="12"/>
      <c r="Z364" s="12"/>
      <c r="AA364" s="12"/>
      <c r="AB364" s="14"/>
      <c r="AC364" s="15"/>
      <c r="AD364" s="12"/>
      <c r="AE364" s="12"/>
      <c r="AF364" s="14"/>
      <c r="AG364" s="18"/>
      <c r="AH364" s="18"/>
      <c r="AI364" s="17"/>
      <c r="AJ364" s="181"/>
      <c r="AK364" s="13"/>
      <c r="AL364" s="181"/>
      <c r="AM364" s="175"/>
      <c r="AN364" s="192"/>
      <c r="AO364" s="13"/>
      <c r="AP364" s="181"/>
      <c r="AQ364" s="175"/>
      <c r="AR364" s="18"/>
      <c r="AS364" s="12"/>
      <c r="AT364" s="12"/>
      <c r="AU364" s="12"/>
      <c r="AV364" s="12"/>
      <c r="AW364" s="137"/>
      <c r="AX364" s="13"/>
      <c r="AY364" s="138"/>
      <c r="AZ364" s="140"/>
      <c r="BA364" s="18"/>
      <c r="BB364" s="18" t="e">
        <f>IF(#REF!&lt;&gt;0,IF(LL[[#This Row],[Date of Birth]]&lt;&gt;0,YEAR(#REF!-LL[[#This Row],[Date of Birth]])-1900,""),"")</f>
        <v>#REF!</v>
      </c>
      <c r="BC364" s="2" t="str">
        <f>IF(LL[[#This Row],[Sx Onset Date]]&gt;0,LL[[#This Row],[Sx Onset Date]],"")</f>
        <v/>
      </c>
      <c r="BD364" s="2" t="str">
        <f>IF(LL[[#This Row],[Lab-confirmed?]]="Y",LL[[#This Row],[Test Date]],"")</f>
        <v/>
      </c>
      <c r="BE364" s="2" t="str">
        <f>IF(LL[[#This Row],[Lab-confirmed?]]="Y",LL[[#This Row],[Test Date 2]],"")</f>
        <v/>
      </c>
      <c r="BF364" s="139" t="str">
        <f>IF(LL[[#This Row],[Date Reported to Public Health]]&gt;0,LL[[#This Row],[Date Reported to Public Health]],"")</f>
        <v/>
      </c>
      <c r="BG364" s="13" t="str">
        <f t="shared" si="5"/>
        <v/>
      </c>
    </row>
    <row r="365" spans="1:59" x14ac:dyDescent="0.3">
      <c r="A365" s="11">
        <v>361</v>
      </c>
      <c r="B365" s="12"/>
      <c r="C365" s="13"/>
      <c r="D365" s="12"/>
      <c r="E365" s="12"/>
      <c r="F365" s="12"/>
      <c r="G365" s="16"/>
      <c r="H365" s="12"/>
      <c r="I365" s="14"/>
      <c r="J365" s="137"/>
      <c r="K365" s="137"/>
      <c r="L365" s="18"/>
      <c r="M365" s="139"/>
      <c r="N365" s="140"/>
      <c r="O365" s="137"/>
      <c r="P365" s="137"/>
      <c r="Q365" s="15"/>
      <c r="R365" s="12"/>
      <c r="S365" s="12"/>
      <c r="T365" s="12"/>
      <c r="U365" s="14"/>
      <c r="V365" s="15"/>
      <c r="W365" s="12"/>
      <c r="X365" s="12"/>
      <c r="Y365" s="12"/>
      <c r="Z365" s="12"/>
      <c r="AA365" s="12"/>
      <c r="AB365" s="14"/>
      <c r="AC365" s="15"/>
      <c r="AD365" s="12"/>
      <c r="AE365" s="12"/>
      <c r="AF365" s="14"/>
      <c r="AG365" s="18"/>
      <c r="AH365" s="18"/>
      <c r="AI365" s="17"/>
      <c r="AJ365" s="181"/>
      <c r="AK365" s="13"/>
      <c r="AL365" s="181"/>
      <c r="AM365" s="175"/>
      <c r="AN365" s="192"/>
      <c r="AO365" s="13"/>
      <c r="AP365" s="181"/>
      <c r="AQ365" s="175"/>
      <c r="AR365" s="18"/>
      <c r="AS365" s="12"/>
      <c r="AT365" s="12"/>
      <c r="AU365" s="12"/>
      <c r="AV365" s="12"/>
      <c r="AW365" s="137"/>
      <c r="AX365" s="13"/>
      <c r="AY365" s="138"/>
      <c r="AZ365" s="140"/>
      <c r="BA365" s="18"/>
      <c r="BB365" s="18" t="e">
        <f>IF(#REF!&lt;&gt;0,IF(LL[[#This Row],[Date of Birth]]&lt;&gt;0,YEAR(#REF!-LL[[#This Row],[Date of Birth]])-1900,""),"")</f>
        <v>#REF!</v>
      </c>
      <c r="BC365" s="2" t="str">
        <f>IF(LL[[#This Row],[Sx Onset Date]]&gt;0,LL[[#This Row],[Sx Onset Date]],"")</f>
        <v/>
      </c>
      <c r="BD365" s="2" t="str">
        <f>IF(LL[[#This Row],[Lab-confirmed?]]="Y",LL[[#This Row],[Test Date]],"")</f>
        <v/>
      </c>
      <c r="BE365" s="2" t="str">
        <f>IF(LL[[#This Row],[Lab-confirmed?]]="Y",LL[[#This Row],[Test Date 2]],"")</f>
        <v/>
      </c>
      <c r="BF365" s="139" t="str">
        <f>IF(LL[[#This Row],[Date Reported to Public Health]]&gt;0,LL[[#This Row],[Date Reported to Public Health]],"")</f>
        <v/>
      </c>
      <c r="BG365" s="13" t="str">
        <f t="shared" si="5"/>
        <v/>
      </c>
    </row>
    <row r="366" spans="1:59" x14ac:dyDescent="0.3">
      <c r="A366" s="11">
        <v>362</v>
      </c>
      <c r="B366" s="12"/>
      <c r="C366" s="13"/>
      <c r="D366" s="12"/>
      <c r="E366" s="12"/>
      <c r="F366" s="12"/>
      <c r="G366" s="16"/>
      <c r="H366" s="12"/>
      <c r="I366" s="14"/>
      <c r="J366" s="137"/>
      <c r="K366" s="137"/>
      <c r="L366" s="18"/>
      <c r="M366" s="139"/>
      <c r="N366" s="140"/>
      <c r="O366" s="137"/>
      <c r="P366" s="137"/>
      <c r="Q366" s="15"/>
      <c r="R366" s="12"/>
      <c r="S366" s="12"/>
      <c r="T366" s="12"/>
      <c r="U366" s="14"/>
      <c r="V366" s="15"/>
      <c r="W366" s="12"/>
      <c r="X366" s="12"/>
      <c r="Y366" s="12"/>
      <c r="Z366" s="12"/>
      <c r="AA366" s="12"/>
      <c r="AB366" s="14"/>
      <c r="AC366" s="15"/>
      <c r="AD366" s="12"/>
      <c r="AE366" s="12"/>
      <c r="AF366" s="14"/>
      <c r="AG366" s="18"/>
      <c r="AH366" s="18"/>
      <c r="AI366" s="17"/>
      <c r="AJ366" s="181"/>
      <c r="AK366" s="13"/>
      <c r="AL366" s="181"/>
      <c r="AM366" s="175"/>
      <c r="AN366" s="192"/>
      <c r="AO366" s="13"/>
      <c r="AP366" s="181"/>
      <c r="AQ366" s="175"/>
      <c r="AR366" s="18"/>
      <c r="AS366" s="12"/>
      <c r="AT366" s="12"/>
      <c r="AU366" s="12"/>
      <c r="AV366" s="12"/>
      <c r="AW366" s="137"/>
      <c r="AX366" s="13"/>
      <c r="AY366" s="138"/>
      <c r="AZ366" s="140"/>
      <c r="BA366" s="18"/>
      <c r="BB366" s="18" t="e">
        <f>IF(#REF!&lt;&gt;0,IF(LL[[#This Row],[Date of Birth]]&lt;&gt;0,YEAR(#REF!-LL[[#This Row],[Date of Birth]])-1900,""),"")</f>
        <v>#REF!</v>
      </c>
      <c r="BC366" s="2" t="str">
        <f>IF(LL[[#This Row],[Sx Onset Date]]&gt;0,LL[[#This Row],[Sx Onset Date]],"")</f>
        <v/>
      </c>
      <c r="BD366" s="2" t="str">
        <f>IF(LL[[#This Row],[Lab-confirmed?]]="Y",LL[[#This Row],[Test Date]],"")</f>
        <v/>
      </c>
      <c r="BE366" s="2" t="str">
        <f>IF(LL[[#This Row],[Lab-confirmed?]]="Y",LL[[#This Row],[Test Date 2]],"")</f>
        <v/>
      </c>
      <c r="BF366" s="139" t="str">
        <f>IF(LL[[#This Row],[Date Reported to Public Health]]&gt;0,LL[[#This Row],[Date Reported to Public Health]],"")</f>
        <v/>
      </c>
      <c r="BG366" s="13" t="str">
        <f t="shared" si="5"/>
        <v/>
      </c>
    </row>
    <row r="367" spans="1:59" x14ac:dyDescent="0.3">
      <c r="A367" s="11">
        <v>363</v>
      </c>
      <c r="B367" s="12"/>
      <c r="C367" s="13"/>
      <c r="D367" s="12"/>
      <c r="E367" s="12"/>
      <c r="F367" s="12"/>
      <c r="G367" s="16"/>
      <c r="H367" s="12"/>
      <c r="I367" s="14"/>
      <c r="J367" s="137"/>
      <c r="K367" s="137"/>
      <c r="L367" s="18"/>
      <c r="M367" s="139"/>
      <c r="N367" s="140"/>
      <c r="O367" s="137"/>
      <c r="P367" s="137"/>
      <c r="Q367" s="15"/>
      <c r="R367" s="12"/>
      <c r="S367" s="12"/>
      <c r="T367" s="12"/>
      <c r="U367" s="14"/>
      <c r="V367" s="15"/>
      <c r="W367" s="12"/>
      <c r="X367" s="12"/>
      <c r="Y367" s="12"/>
      <c r="Z367" s="12"/>
      <c r="AA367" s="12"/>
      <c r="AB367" s="14"/>
      <c r="AC367" s="15"/>
      <c r="AD367" s="12"/>
      <c r="AE367" s="12"/>
      <c r="AF367" s="14"/>
      <c r="AG367" s="18"/>
      <c r="AH367" s="18"/>
      <c r="AI367" s="17"/>
      <c r="AJ367" s="181"/>
      <c r="AK367" s="13"/>
      <c r="AL367" s="181"/>
      <c r="AM367" s="175"/>
      <c r="AN367" s="192"/>
      <c r="AO367" s="13"/>
      <c r="AP367" s="181"/>
      <c r="AQ367" s="175"/>
      <c r="AR367" s="18"/>
      <c r="AS367" s="12"/>
      <c r="AT367" s="12"/>
      <c r="AU367" s="12"/>
      <c r="AV367" s="12"/>
      <c r="AW367" s="137"/>
      <c r="AX367" s="13"/>
      <c r="AY367" s="138"/>
      <c r="AZ367" s="140"/>
      <c r="BA367" s="18"/>
      <c r="BB367" s="18" t="e">
        <f>IF(#REF!&lt;&gt;0,IF(LL[[#This Row],[Date of Birth]]&lt;&gt;0,YEAR(#REF!-LL[[#This Row],[Date of Birth]])-1900,""),"")</f>
        <v>#REF!</v>
      </c>
      <c r="BC367" s="2" t="str">
        <f>IF(LL[[#This Row],[Sx Onset Date]]&gt;0,LL[[#This Row],[Sx Onset Date]],"")</f>
        <v/>
      </c>
      <c r="BD367" s="2" t="str">
        <f>IF(LL[[#This Row],[Lab-confirmed?]]="Y",LL[[#This Row],[Test Date]],"")</f>
        <v/>
      </c>
      <c r="BE367" s="2" t="str">
        <f>IF(LL[[#This Row],[Lab-confirmed?]]="Y",LL[[#This Row],[Test Date 2]],"")</f>
        <v/>
      </c>
      <c r="BF367" s="139" t="str">
        <f>IF(LL[[#This Row],[Date Reported to Public Health]]&gt;0,LL[[#This Row],[Date Reported to Public Health]],"")</f>
        <v/>
      </c>
      <c r="BG367" s="13" t="str">
        <f t="shared" si="5"/>
        <v/>
      </c>
    </row>
    <row r="368" spans="1:59" x14ac:dyDescent="0.3">
      <c r="A368" s="11">
        <v>364</v>
      </c>
      <c r="B368" s="12"/>
      <c r="C368" s="13"/>
      <c r="D368" s="12"/>
      <c r="E368" s="12"/>
      <c r="F368" s="12"/>
      <c r="G368" s="16"/>
      <c r="H368" s="12"/>
      <c r="I368" s="14"/>
      <c r="J368" s="137"/>
      <c r="K368" s="137"/>
      <c r="L368" s="18"/>
      <c r="M368" s="139"/>
      <c r="N368" s="140"/>
      <c r="O368" s="137"/>
      <c r="P368" s="137"/>
      <c r="Q368" s="15"/>
      <c r="R368" s="12"/>
      <c r="S368" s="12"/>
      <c r="T368" s="12"/>
      <c r="U368" s="14"/>
      <c r="V368" s="15"/>
      <c r="W368" s="12"/>
      <c r="X368" s="12"/>
      <c r="Y368" s="12"/>
      <c r="Z368" s="12"/>
      <c r="AA368" s="12"/>
      <c r="AB368" s="14"/>
      <c r="AC368" s="15"/>
      <c r="AD368" s="12"/>
      <c r="AE368" s="12"/>
      <c r="AF368" s="14"/>
      <c r="AG368" s="18"/>
      <c r="AH368" s="18"/>
      <c r="AI368" s="17"/>
      <c r="AJ368" s="181"/>
      <c r="AK368" s="13"/>
      <c r="AL368" s="181"/>
      <c r="AM368" s="175"/>
      <c r="AN368" s="192"/>
      <c r="AO368" s="13"/>
      <c r="AP368" s="181"/>
      <c r="AQ368" s="175"/>
      <c r="AR368" s="18"/>
      <c r="AS368" s="12"/>
      <c r="AT368" s="12"/>
      <c r="AU368" s="12"/>
      <c r="AV368" s="12"/>
      <c r="AW368" s="137"/>
      <c r="AX368" s="13"/>
      <c r="AY368" s="138"/>
      <c r="AZ368" s="140"/>
      <c r="BA368" s="18"/>
      <c r="BB368" s="18" t="e">
        <f>IF(#REF!&lt;&gt;0,IF(LL[[#This Row],[Date of Birth]]&lt;&gt;0,YEAR(#REF!-LL[[#This Row],[Date of Birth]])-1900,""),"")</f>
        <v>#REF!</v>
      </c>
      <c r="BC368" s="2" t="str">
        <f>IF(LL[[#This Row],[Sx Onset Date]]&gt;0,LL[[#This Row],[Sx Onset Date]],"")</f>
        <v/>
      </c>
      <c r="BD368" s="2" t="str">
        <f>IF(LL[[#This Row],[Lab-confirmed?]]="Y",LL[[#This Row],[Test Date]],"")</f>
        <v/>
      </c>
      <c r="BE368" s="2" t="str">
        <f>IF(LL[[#This Row],[Lab-confirmed?]]="Y",LL[[#This Row],[Test Date 2]],"")</f>
        <v/>
      </c>
      <c r="BF368" s="139" t="str">
        <f>IF(LL[[#This Row],[Date Reported to Public Health]]&gt;0,LL[[#This Row],[Date Reported to Public Health]],"")</f>
        <v/>
      </c>
      <c r="BG368" s="13" t="str">
        <f t="shared" si="5"/>
        <v/>
      </c>
    </row>
    <row r="369" spans="1:59" x14ac:dyDescent="0.3">
      <c r="A369" s="11">
        <v>365</v>
      </c>
      <c r="B369" s="12"/>
      <c r="C369" s="13"/>
      <c r="D369" s="12"/>
      <c r="E369" s="12"/>
      <c r="F369" s="12"/>
      <c r="G369" s="16"/>
      <c r="H369" s="12"/>
      <c r="I369" s="14"/>
      <c r="J369" s="137"/>
      <c r="K369" s="137"/>
      <c r="L369" s="18"/>
      <c r="M369" s="139"/>
      <c r="N369" s="140"/>
      <c r="O369" s="137"/>
      <c r="P369" s="137"/>
      <c r="Q369" s="15"/>
      <c r="R369" s="12"/>
      <c r="S369" s="12"/>
      <c r="T369" s="12"/>
      <c r="U369" s="14"/>
      <c r="V369" s="15"/>
      <c r="W369" s="12"/>
      <c r="X369" s="12"/>
      <c r="Y369" s="12"/>
      <c r="Z369" s="12"/>
      <c r="AA369" s="12"/>
      <c r="AB369" s="14"/>
      <c r="AC369" s="15"/>
      <c r="AD369" s="12"/>
      <c r="AE369" s="12"/>
      <c r="AF369" s="14"/>
      <c r="AG369" s="18"/>
      <c r="AH369" s="18"/>
      <c r="AI369" s="17"/>
      <c r="AJ369" s="181"/>
      <c r="AK369" s="13"/>
      <c r="AL369" s="181"/>
      <c r="AM369" s="175"/>
      <c r="AN369" s="192"/>
      <c r="AO369" s="13"/>
      <c r="AP369" s="181"/>
      <c r="AQ369" s="175"/>
      <c r="AR369" s="18"/>
      <c r="AS369" s="12"/>
      <c r="AT369" s="12"/>
      <c r="AU369" s="12"/>
      <c r="AV369" s="12"/>
      <c r="AW369" s="137"/>
      <c r="AX369" s="13"/>
      <c r="AY369" s="138"/>
      <c r="AZ369" s="140"/>
      <c r="BA369" s="18"/>
      <c r="BB369" s="18" t="e">
        <f>IF(#REF!&lt;&gt;0,IF(LL[[#This Row],[Date of Birth]]&lt;&gt;0,YEAR(#REF!-LL[[#This Row],[Date of Birth]])-1900,""),"")</f>
        <v>#REF!</v>
      </c>
      <c r="BC369" s="2" t="str">
        <f>IF(LL[[#This Row],[Sx Onset Date]]&gt;0,LL[[#This Row],[Sx Onset Date]],"")</f>
        <v/>
      </c>
      <c r="BD369" s="2" t="str">
        <f>IF(LL[[#This Row],[Lab-confirmed?]]="Y",LL[[#This Row],[Test Date]],"")</f>
        <v/>
      </c>
      <c r="BE369" s="2" t="str">
        <f>IF(LL[[#This Row],[Lab-confirmed?]]="Y",LL[[#This Row],[Test Date 2]],"")</f>
        <v/>
      </c>
      <c r="BF369" s="139" t="str">
        <f>IF(LL[[#This Row],[Date Reported to Public Health]]&gt;0,LL[[#This Row],[Date Reported to Public Health]],"")</f>
        <v/>
      </c>
      <c r="BG369" s="13" t="str">
        <f t="shared" si="5"/>
        <v/>
      </c>
    </row>
    <row r="370" spans="1:59" x14ac:dyDescent="0.3">
      <c r="A370" s="11">
        <v>366</v>
      </c>
      <c r="B370" s="12"/>
      <c r="C370" s="13"/>
      <c r="D370" s="12"/>
      <c r="E370" s="12"/>
      <c r="F370" s="12"/>
      <c r="G370" s="16"/>
      <c r="H370" s="12"/>
      <c r="I370" s="14"/>
      <c r="J370" s="137"/>
      <c r="K370" s="137"/>
      <c r="L370" s="18"/>
      <c r="M370" s="139"/>
      <c r="N370" s="140"/>
      <c r="O370" s="137"/>
      <c r="P370" s="137"/>
      <c r="Q370" s="15"/>
      <c r="R370" s="12"/>
      <c r="S370" s="12"/>
      <c r="T370" s="12"/>
      <c r="U370" s="14"/>
      <c r="V370" s="15"/>
      <c r="W370" s="12"/>
      <c r="X370" s="12"/>
      <c r="Y370" s="12"/>
      <c r="Z370" s="12"/>
      <c r="AA370" s="12"/>
      <c r="AB370" s="14"/>
      <c r="AC370" s="15"/>
      <c r="AD370" s="12"/>
      <c r="AE370" s="12"/>
      <c r="AF370" s="14"/>
      <c r="AG370" s="18"/>
      <c r="AH370" s="18"/>
      <c r="AI370" s="17"/>
      <c r="AJ370" s="181"/>
      <c r="AK370" s="13"/>
      <c r="AL370" s="181"/>
      <c r="AM370" s="175"/>
      <c r="AN370" s="192"/>
      <c r="AO370" s="13"/>
      <c r="AP370" s="181"/>
      <c r="AQ370" s="175"/>
      <c r="AR370" s="18"/>
      <c r="AS370" s="12"/>
      <c r="AT370" s="12"/>
      <c r="AU370" s="12"/>
      <c r="AV370" s="12"/>
      <c r="AW370" s="137"/>
      <c r="AX370" s="13"/>
      <c r="AY370" s="138"/>
      <c r="AZ370" s="140"/>
      <c r="BA370" s="18"/>
      <c r="BB370" s="18" t="e">
        <f>IF(#REF!&lt;&gt;0,IF(LL[[#This Row],[Date of Birth]]&lt;&gt;0,YEAR(#REF!-LL[[#This Row],[Date of Birth]])-1900,""),"")</f>
        <v>#REF!</v>
      </c>
      <c r="BC370" s="2" t="str">
        <f>IF(LL[[#This Row],[Sx Onset Date]]&gt;0,LL[[#This Row],[Sx Onset Date]],"")</f>
        <v/>
      </c>
      <c r="BD370" s="2" t="str">
        <f>IF(LL[[#This Row],[Lab-confirmed?]]="Y",LL[[#This Row],[Test Date]],"")</f>
        <v/>
      </c>
      <c r="BE370" s="2" t="str">
        <f>IF(LL[[#This Row],[Lab-confirmed?]]="Y",LL[[#This Row],[Test Date 2]],"")</f>
        <v/>
      </c>
      <c r="BF370" s="139" t="str">
        <f>IF(LL[[#This Row],[Date Reported to Public Health]]&gt;0,LL[[#This Row],[Date Reported to Public Health]],"")</f>
        <v/>
      </c>
      <c r="BG370" s="13" t="str">
        <f t="shared" si="5"/>
        <v/>
      </c>
    </row>
    <row r="371" spans="1:59" x14ac:dyDescent="0.3">
      <c r="A371" s="11">
        <v>367</v>
      </c>
      <c r="B371" s="12"/>
      <c r="C371" s="13"/>
      <c r="D371" s="12"/>
      <c r="E371" s="12"/>
      <c r="F371" s="12"/>
      <c r="G371" s="16"/>
      <c r="H371" s="12"/>
      <c r="I371" s="14"/>
      <c r="J371" s="137"/>
      <c r="K371" s="137"/>
      <c r="L371" s="18"/>
      <c r="M371" s="139"/>
      <c r="N371" s="140"/>
      <c r="O371" s="137"/>
      <c r="P371" s="137"/>
      <c r="Q371" s="15"/>
      <c r="R371" s="12"/>
      <c r="S371" s="12"/>
      <c r="T371" s="12"/>
      <c r="U371" s="14"/>
      <c r="V371" s="15"/>
      <c r="W371" s="12"/>
      <c r="X371" s="12"/>
      <c r="Y371" s="12"/>
      <c r="Z371" s="12"/>
      <c r="AA371" s="12"/>
      <c r="AB371" s="14"/>
      <c r="AC371" s="15"/>
      <c r="AD371" s="12"/>
      <c r="AE371" s="12"/>
      <c r="AF371" s="14"/>
      <c r="AG371" s="18"/>
      <c r="AH371" s="18"/>
      <c r="AI371" s="17"/>
      <c r="AJ371" s="181"/>
      <c r="AK371" s="13"/>
      <c r="AL371" s="181"/>
      <c r="AM371" s="175"/>
      <c r="AN371" s="192"/>
      <c r="AO371" s="13"/>
      <c r="AP371" s="181"/>
      <c r="AQ371" s="175"/>
      <c r="AR371" s="18"/>
      <c r="AS371" s="12"/>
      <c r="AT371" s="12"/>
      <c r="AU371" s="12"/>
      <c r="AV371" s="12"/>
      <c r="AW371" s="137"/>
      <c r="AX371" s="13"/>
      <c r="AY371" s="138"/>
      <c r="AZ371" s="140"/>
      <c r="BA371" s="18"/>
      <c r="BB371" s="18" t="e">
        <f>IF(#REF!&lt;&gt;0,IF(LL[[#This Row],[Date of Birth]]&lt;&gt;0,YEAR(#REF!-LL[[#This Row],[Date of Birth]])-1900,""),"")</f>
        <v>#REF!</v>
      </c>
      <c r="BC371" s="2" t="str">
        <f>IF(LL[[#This Row],[Sx Onset Date]]&gt;0,LL[[#This Row],[Sx Onset Date]],"")</f>
        <v/>
      </c>
      <c r="BD371" s="2" t="str">
        <f>IF(LL[[#This Row],[Lab-confirmed?]]="Y",LL[[#This Row],[Test Date]],"")</f>
        <v/>
      </c>
      <c r="BE371" s="2" t="str">
        <f>IF(LL[[#This Row],[Lab-confirmed?]]="Y",LL[[#This Row],[Test Date 2]],"")</f>
        <v/>
      </c>
      <c r="BF371" s="139" t="str">
        <f>IF(LL[[#This Row],[Date Reported to Public Health]]&gt;0,LL[[#This Row],[Date Reported to Public Health]],"")</f>
        <v/>
      </c>
      <c r="BG371" s="13" t="str">
        <f t="shared" si="5"/>
        <v/>
      </c>
    </row>
    <row r="372" spans="1:59" x14ac:dyDescent="0.3">
      <c r="A372" s="11">
        <v>368</v>
      </c>
      <c r="B372" s="12"/>
      <c r="C372" s="13"/>
      <c r="D372" s="12"/>
      <c r="E372" s="12"/>
      <c r="F372" s="12"/>
      <c r="G372" s="16"/>
      <c r="H372" s="12"/>
      <c r="I372" s="14"/>
      <c r="J372" s="137"/>
      <c r="K372" s="137"/>
      <c r="L372" s="18"/>
      <c r="M372" s="139"/>
      <c r="N372" s="140"/>
      <c r="O372" s="137"/>
      <c r="P372" s="137"/>
      <c r="Q372" s="15"/>
      <c r="R372" s="12"/>
      <c r="S372" s="12"/>
      <c r="T372" s="12"/>
      <c r="U372" s="14"/>
      <c r="V372" s="15"/>
      <c r="W372" s="12"/>
      <c r="X372" s="12"/>
      <c r="Y372" s="12"/>
      <c r="Z372" s="12"/>
      <c r="AA372" s="12"/>
      <c r="AB372" s="14"/>
      <c r="AC372" s="15"/>
      <c r="AD372" s="12"/>
      <c r="AE372" s="12"/>
      <c r="AF372" s="14"/>
      <c r="AG372" s="18"/>
      <c r="AH372" s="18"/>
      <c r="AI372" s="17"/>
      <c r="AJ372" s="181"/>
      <c r="AK372" s="13"/>
      <c r="AL372" s="181"/>
      <c r="AM372" s="175"/>
      <c r="AN372" s="192"/>
      <c r="AO372" s="13"/>
      <c r="AP372" s="181"/>
      <c r="AQ372" s="175"/>
      <c r="AR372" s="18"/>
      <c r="AS372" s="12"/>
      <c r="AT372" s="12"/>
      <c r="AU372" s="12"/>
      <c r="AV372" s="12"/>
      <c r="AW372" s="137"/>
      <c r="AX372" s="13"/>
      <c r="AY372" s="138"/>
      <c r="AZ372" s="140"/>
      <c r="BA372" s="18"/>
      <c r="BB372" s="18" t="e">
        <f>IF(#REF!&lt;&gt;0,IF(LL[[#This Row],[Date of Birth]]&lt;&gt;0,YEAR(#REF!-LL[[#This Row],[Date of Birth]])-1900,""),"")</f>
        <v>#REF!</v>
      </c>
      <c r="BC372" s="2" t="str">
        <f>IF(LL[[#This Row],[Sx Onset Date]]&gt;0,LL[[#This Row],[Sx Onset Date]],"")</f>
        <v/>
      </c>
      <c r="BD372" s="2" t="str">
        <f>IF(LL[[#This Row],[Lab-confirmed?]]="Y",LL[[#This Row],[Test Date]],"")</f>
        <v/>
      </c>
      <c r="BE372" s="2" t="str">
        <f>IF(LL[[#This Row],[Lab-confirmed?]]="Y",LL[[#This Row],[Test Date 2]],"")</f>
        <v/>
      </c>
      <c r="BF372" s="139" t="str">
        <f>IF(LL[[#This Row],[Date Reported to Public Health]]&gt;0,LL[[#This Row],[Date Reported to Public Health]],"")</f>
        <v/>
      </c>
      <c r="BG372" s="13" t="str">
        <f t="shared" si="5"/>
        <v/>
      </c>
    </row>
    <row r="373" spans="1:59" x14ac:dyDescent="0.3">
      <c r="A373" s="11">
        <v>369</v>
      </c>
      <c r="B373" s="12"/>
      <c r="C373" s="13"/>
      <c r="D373" s="12"/>
      <c r="E373" s="12"/>
      <c r="F373" s="12"/>
      <c r="G373" s="16"/>
      <c r="H373" s="12"/>
      <c r="I373" s="14"/>
      <c r="J373" s="137"/>
      <c r="K373" s="137"/>
      <c r="L373" s="18"/>
      <c r="M373" s="139"/>
      <c r="N373" s="140"/>
      <c r="O373" s="137"/>
      <c r="P373" s="137"/>
      <c r="Q373" s="15"/>
      <c r="R373" s="12"/>
      <c r="S373" s="12"/>
      <c r="T373" s="12"/>
      <c r="U373" s="14"/>
      <c r="V373" s="15"/>
      <c r="W373" s="12"/>
      <c r="X373" s="12"/>
      <c r="Y373" s="12"/>
      <c r="Z373" s="12"/>
      <c r="AA373" s="12"/>
      <c r="AB373" s="14"/>
      <c r="AC373" s="15"/>
      <c r="AD373" s="12"/>
      <c r="AE373" s="12"/>
      <c r="AF373" s="14"/>
      <c r="AG373" s="18"/>
      <c r="AH373" s="18"/>
      <c r="AI373" s="17"/>
      <c r="AJ373" s="181"/>
      <c r="AK373" s="13"/>
      <c r="AL373" s="181"/>
      <c r="AM373" s="175"/>
      <c r="AN373" s="192"/>
      <c r="AO373" s="13"/>
      <c r="AP373" s="181"/>
      <c r="AQ373" s="175"/>
      <c r="AR373" s="18"/>
      <c r="AS373" s="12"/>
      <c r="AT373" s="12"/>
      <c r="AU373" s="12"/>
      <c r="AV373" s="12"/>
      <c r="AW373" s="137"/>
      <c r="AX373" s="13"/>
      <c r="AY373" s="138"/>
      <c r="AZ373" s="140"/>
      <c r="BA373" s="18"/>
      <c r="BB373" s="18" t="e">
        <f>IF(#REF!&lt;&gt;0,IF(LL[[#This Row],[Date of Birth]]&lt;&gt;0,YEAR(#REF!-LL[[#This Row],[Date of Birth]])-1900,""),"")</f>
        <v>#REF!</v>
      </c>
      <c r="BC373" s="2" t="str">
        <f>IF(LL[[#This Row],[Sx Onset Date]]&gt;0,LL[[#This Row],[Sx Onset Date]],"")</f>
        <v/>
      </c>
      <c r="BD373" s="2" t="str">
        <f>IF(LL[[#This Row],[Lab-confirmed?]]="Y",LL[[#This Row],[Test Date]],"")</f>
        <v/>
      </c>
      <c r="BE373" s="2" t="str">
        <f>IF(LL[[#This Row],[Lab-confirmed?]]="Y",LL[[#This Row],[Test Date 2]],"")</f>
        <v/>
      </c>
      <c r="BF373" s="139" t="str">
        <f>IF(LL[[#This Row],[Date Reported to Public Health]]&gt;0,LL[[#This Row],[Date Reported to Public Health]],"")</f>
        <v/>
      </c>
      <c r="BG373" s="13" t="str">
        <f t="shared" si="5"/>
        <v/>
      </c>
    </row>
    <row r="374" spans="1:59" x14ac:dyDescent="0.3">
      <c r="A374" s="11">
        <v>370</v>
      </c>
      <c r="B374" s="12"/>
      <c r="C374" s="13"/>
      <c r="D374" s="12"/>
      <c r="E374" s="12"/>
      <c r="F374" s="12"/>
      <c r="G374" s="16"/>
      <c r="H374" s="12"/>
      <c r="I374" s="14"/>
      <c r="J374" s="137"/>
      <c r="K374" s="137"/>
      <c r="L374" s="18"/>
      <c r="M374" s="139"/>
      <c r="N374" s="140"/>
      <c r="O374" s="137"/>
      <c r="P374" s="137"/>
      <c r="Q374" s="15"/>
      <c r="R374" s="12"/>
      <c r="S374" s="12"/>
      <c r="T374" s="12"/>
      <c r="U374" s="14"/>
      <c r="V374" s="15"/>
      <c r="W374" s="12"/>
      <c r="X374" s="12"/>
      <c r="Y374" s="12"/>
      <c r="Z374" s="12"/>
      <c r="AA374" s="12"/>
      <c r="AB374" s="14"/>
      <c r="AC374" s="15"/>
      <c r="AD374" s="12"/>
      <c r="AE374" s="12"/>
      <c r="AF374" s="14"/>
      <c r="AG374" s="18"/>
      <c r="AH374" s="18"/>
      <c r="AI374" s="17"/>
      <c r="AJ374" s="181"/>
      <c r="AK374" s="13"/>
      <c r="AL374" s="181"/>
      <c r="AM374" s="175"/>
      <c r="AN374" s="192"/>
      <c r="AO374" s="13"/>
      <c r="AP374" s="181"/>
      <c r="AQ374" s="175"/>
      <c r="AR374" s="18"/>
      <c r="AS374" s="12"/>
      <c r="AT374" s="12"/>
      <c r="AU374" s="12"/>
      <c r="AV374" s="12"/>
      <c r="AW374" s="137"/>
      <c r="AX374" s="13"/>
      <c r="AY374" s="138"/>
      <c r="AZ374" s="140"/>
      <c r="BA374" s="18"/>
      <c r="BB374" s="18" t="e">
        <f>IF(#REF!&lt;&gt;0,IF(LL[[#This Row],[Date of Birth]]&lt;&gt;0,YEAR(#REF!-LL[[#This Row],[Date of Birth]])-1900,""),"")</f>
        <v>#REF!</v>
      </c>
      <c r="BC374" s="2" t="str">
        <f>IF(LL[[#This Row],[Sx Onset Date]]&gt;0,LL[[#This Row],[Sx Onset Date]],"")</f>
        <v/>
      </c>
      <c r="BD374" s="2" t="str">
        <f>IF(LL[[#This Row],[Lab-confirmed?]]="Y",LL[[#This Row],[Test Date]],"")</f>
        <v/>
      </c>
      <c r="BE374" s="2" t="str">
        <f>IF(LL[[#This Row],[Lab-confirmed?]]="Y",LL[[#This Row],[Test Date 2]],"")</f>
        <v/>
      </c>
      <c r="BF374" s="139" t="str">
        <f>IF(LL[[#This Row],[Date Reported to Public Health]]&gt;0,LL[[#This Row],[Date Reported to Public Health]],"")</f>
        <v/>
      </c>
      <c r="BG374" s="13" t="str">
        <f t="shared" si="5"/>
        <v/>
      </c>
    </row>
    <row r="375" spans="1:59" x14ac:dyDescent="0.3">
      <c r="A375" s="11">
        <v>371</v>
      </c>
      <c r="B375" s="12"/>
      <c r="C375" s="13"/>
      <c r="D375" s="12"/>
      <c r="E375" s="12"/>
      <c r="F375" s="12"/>
      <c r="G375" s="16"/>
      <c r="H375" s="12"/>
      <c r="I375" s="14"/>
      <c r="J375" s="137"/>
      <c r="K375" s="137"/>
      <c r="L375" s="18"/>
      <c r="M375" s="139"/>
      <c r="N375" s="140"/>
      <c r="O375" s="137"/>
      <c r="P375" s="137"/>
      <c r="Q375" s="15"/>
      <c r="R375" s="12"/>
      <c r="S375" s="12"/>
      <c r="T375" s="12"/>
      <c r="U375" s="14"/>
      <c r="V375" s="15"/>
      <c r="W375" s="12"/>
      <c r="X375" s="12"/>
      <c r="Y375" s="12"/>
      <c r="Z375" s="12"/>
      <c r="AA375" s="12"/>
      <c r="AB375" s="14"/>
      <c r="AC375" s="15"/>
      <c r="AD375" s="12"/>
      <c r="AE375" s="12"/>
      <c r="AF375" s="14"/>
      <c r="AG375" s="18"/>
      <c r="AH375" s="18"/>
      <c r="AI375" s="17"/>
      <c r="AJ375" s="181"/>
      <c r="AK375" s="13"/>
      <c r="AL375" s="181"/>
      <c r="AM375" s="175"/>
      <c r="AN375" s="192"/>
      <c r="AO375" s="13"/>
      <c r="AP375" s="181"/>
      <c r="AQ375" s="175"/>
      <c r="AR375" s="18"/>
      <c r="AS375" s="12"/>
      <c r="AT375" s="12"/>
      <c r="AU375" s="12"/>
      <c r="AV375" s="12"/>
      <c r="AW375" s="137"/>
      <c r="AX375" s="13"/>
      <c r="AY375" s="138"/>
      <c r="AZ375" s="140"/>
      <c r="BA375" s="18"/>
      <c r="BB375" s="18" t="e">
        <f>IF(#REF!&lt;&gt;0,IF(LL[[#This Row],[Date of Birth]]&lt;&gt;0,YEAR(#REF!-LL[[#This Row],[Date of Birth]])-1900,""),"")</f>
        <v>#REF!</v>
      </c>
      <c r="BC375" s="2" t="str">
        <f>IF(LL[[#This Row],[Sx Onset Date]]&gt;0,LL[[#This Row],[Sx Onset Date]],"")</f>
        <v/>
      </c>
      <c r="BD375" s="2" t="str">
        <f>IF(LL[[#This Row],[Lab-confirmed?]]="Y",LL[[#This Row],[Test Date]],"")</f>
        <v/>
      </c>
      <c r="BE375" s="2" t="str">
        <f>IF(LL[[#This Row],[Lab-confirmed?]]="Y",LL[[#This Row],[Test Date 2]],"")</f>
        <v/>
      </c>
      <c r="BF375" s="139" t="str">
        <f>IF(LL[[#This Row],[Date Reported to Public Health]]&gt;0,LL[[#This Row],[Date Reported to Public Health]],"")</f>
        <v/>
      </c>
      <c r="BG375" s="13" t="str">
        <f t="shared" si="5"/>
        <v/>
      </c>
    </row>
    <row r="376" spans="1:59" x14ac:dyDescent="0.3">
      <c r="A376" s="11">
        <v>372</v>
      </c>
      <c r="B376" s="12"/>
      <c r="C376" s="13"/>
      <c r="D376" s="12"/>
      <c r="E376" s="12"/>
      <c r="F376" s="12"/>
      <c r="G376" s="16"/>
      <c r="H376" s="12"/>
      <c r="I376" s="14"/>
      <c r="J376" s="137"/>
      <c r="K376" s="137"/>
      <c r="L376" s="18"/>
      <c r="M376" s="139"/>
      <c r="N376" s="140"/>
      <c r="O376" s="137"/>
      <c r="P376" s="137"/>
      <c r="Q376" s="15"/>
      <c r="R376" s="12"/>
      <c r="S376" s="12"/>
      <c r="T376" s="12"/>
      <c r="U376" s="14"/>
      <c r="V376" s="15"/>
      <c r="W376" s="12"/>
      <c r="X376" s="12"/>
      <c r="Y376" s="12"/>
      <c r="Z376" s="12"/>
      <c r="AA376" s="12"/>
      <c r="AB376" s="14"/>
      <c r="AC376" s="15"/>
      <c r="AD376" s="12"/>
      <c r="AE376" s="12"/>
      <c r="AF376" s="14"/>
      <c r="AG376" s="18"/>
      <c r="AH376" s="18"/>
      <c r="AI376" s="17"/>
      <c r="AJ376" s="181"/>
      <c r="AK376" s="13"/>
      <c r="AL376" s="181"/>
      <c r="AM376" s="175"/>
      <c r="AN376" s="192"/>
      <c r="AO376" s="13"/>
      <c r="AP376" s="181"/>
      <c r="AQ376" s="175"/>
      <c r="AR376" s="18"/>
      <c r="AS376" s="12"/>
      <c r="AT376" s="12"/>
      <c r="AU376" s="12"/>
      <c r="AV376" s="12"/>
      <c r="AW376" s="137"/>
      <c r="AX376" s="13"/>
      <c r="AY376" s="138"/>
      <c r="AZ376" s="140"/>
      <c r="BA376" s="18"/>
      <c r="BB376" s="18" t="e">
        <f>IF(#REF!&lt;&gt;0,IF(LL[[#This Row],[Date of Birth]]&lt;&gt;0,YEAR(#REF!-LL[[#This Row],[Date of Birth]])-1900,""),"")</f>
        <v>#REF!</v>
      </c>
      <c r="BC376" s="2" t="str">
        <f>IF(LL[[#This Row],[Sx Onset Date]]&gt;0,LL[[#This Row],[Sx Onset Date]],"")</f>
        <v/>
      </c>
      <c r="BD376" s="2" t="str">
        <f>IF(LL[[#This Row],[Lab-confirmed?]]="Y",LL[[#This Row],[Test Date]],"")</f>
        <v/>
      </c>
      <c r="BE376" s="2" t="str">
        <f>IF(LL[[#This Row],[Lab-confirmed?]]="Y",LL[[#This Row],[Test Date 2]],"")</f>
        <v/>
      </c>
      <c r="BF376" s="139" t="str">
        <f>IF(LL[[#This Row],[Date Reported to Public Health]]&gt;0,LL[[#This Row],[Date Reported to Public Health]],"")</f>
        <v/>
      </c>
      <c r="BG376" s="13" t="str">
        <f t="shared" si="5"/>
        <v/>
      </c>
    </row>
    <row r="377" spans="1:59" x14ac:dyDescent="0.3">
      <c r="A377" s="11">
        <v>373</v>
      </c>
      <c r="B377" s="12"/>
      <c r="C377" s="13"/>
      <c r="D377" s="12"/>
      <c r="E377" s="12"/>
      <c r="F377" s="12"/>
      <c r="G377" s="16"/>
      <c r="H377" s="12"/>
      <c r="I377" s="14"/>
      <c r="J377" s="137"/>
      <c r="K377" s="137"/>
      <c r="L377" s="18"/>
      <c r="M377" s="139"/>
      <c r="N377" s="140"/>
      <c r="O377" s="137"/>
      <c r="P377" s="137"/>
      <c r="Q377" s="15"/>
      <c r="R377" s="12"/>
      <c r="S377" s="12"/>
      <c r="T377" s="12"/>
      <c r="U377" s="14"/>
      <c r="V377" s="15"/>
      <c r="W377" s="12"/>
      <c r="X377" s="12"/>
      <c r="Y377" s="12"/>
      <c r="Z377" s="12"/>
      <c r="AA377" s="12"/>
      <c r="AB377" s="14"/>
      <c r="AC377" s="15"/>
      <c r="AD377" s="12"/>
      <c r="AE377" s="12"/>
      <c r="AF377" s="14"/>
      <c r="AG377" s="18"/>
      <c r="AH377" s="18"/>
      <c r="AI377" s="17"/>
      <c r="AJ377" s="181"/>
      <c r="AK377" s="13"/>
      <c r="AL377" s="181"/>
      <c r="AM377" s="175"/>
      <c r="AN377" s="192"/>
      <c r="AO377" s="13"/>
      <c r="AP377" s="181"/>
      <c r="AQ377" s="175"/>
      <c r="AR377" s="18"/>
      <c r="AS377" s="12"/>
      <c r="AT377" s="12"/>
      <c r="AU377" s="12"/>
      <c r="AV377" s="12"/>
      <c r="AW377" s="137"/>
      <c r="AX377" s="13"/>
      <c r="AY377" s="138"/>
      <c r="AZ377" s="140"/>
      <c r="BA377" s="18"/>
      <c r="BB377" s="18" t="e">
        <f>IF(#REF!&lt;&gt;0,IF(LL[[#This Row],[Date of Birth]]&lt;&gt;0,YEAR(#REF!-LL[[#This Row],[Date of Birth]])-1900,""),"")</f>
        <v>#REF!</v>
      </c>
      <c r="BC377" s="2" t="str">
        <f>IF(LL[[#This Row],[Sx Onset Date]]&gt;0,LL[[#This Row],[Sx Onset Date]],"")</f>
        <v/>
      </c>
      <c r="BD377" s="2" t="str">
        <f>IF(LL[[#This Row],[Lab-confirmed?]]="Y",LL[[#This Row],[Test Date]],"")</f>
        <v/>
      </c>
      <c r="BE377" s="2" t="str">
        <f>IF(LL[[#This Row],[Lab-confirmed?]]="Y",LL[[#This Row],[Test Date 2]],"")</f>
        <v/>
      </c>
      <c r="BF377" s="139" t="str">
        <f>IF(LL[[#This Row],[Date Reported to Public Health]]&gt;0,LL[[#This Row],[Date Reported to Public Health]],"")</f>
        <v/>
      </c>
      <c r="BG377" s="13" t="str">
        <f t="shared" si="5"/>
        <v/>
      </c>
    </row>
    <row r="378" spans="1:59" x14ac:dyDescent="0.3">
      <c r="A378" s="11">
        <v>374</v>
      </c>
      <c r="B378" s="12"/>
      <c r="C378" s="13"/>
      <c r="D378" s="12"/>
      <c r="E378" s="12"/>
      <c r="F378" s="12"/>
      <c r="G378" s="16"/>
      <c r="H378" s="12"/>
      <c r="I378" s="14"/>
      <c r="J378" s="137"/>
      <c r="K378" s="137"/>
      <c r="L378" s="18"/>
      <c r="M378" s="139"/>
      <c r="N378" s="140"/>
      <c r="O378" s="137"/>
      <c r="P378" s="137"/>
      <c r="Q378" s="15"/>
      <c r="R378" s="12"/>
      <c r="S378" s="12"/>
      <c r="T378" s="12"/>
      <c r="U378" s="14"/>
      <c r="V378" s="15"/>
      <c r="W378" s="12"/>
      <c r="X378" s="12"/>
      <c r="Y378" s="12"/>
      <c r="Z378" s="12"/>
      <c r="AA378" s="12"/>
      <c r="AB378" s="14"/>
      <c r="AC378" s="15"/>
      <c r="AD378" s="12"/>
      <c r="AE378" s="12"/>
      <c r="AF378" s="14"/>
      <c r="AG378" s="18"/>
      <c r="AH378" s="18"/>
      <c r="AI378" s="17"/>
      <c r="AJ378" s="181"/>
      <c r="AK378" s="13"/>
      <c r="AL378" s="181"/>
      <c r="AM378" s="175"/>
      <c r="AN378" s="192"/>
      <c r="AO378" s="13"/>
      <c r="AP378" s="181"/>
      <c r="AQ378" s="175"/>
      <c r="AR378" s="18"/>
      <c r="AS378" s="12"/>
      <c r="AT378" s="12"/>
      <c r="AU378" s="12"/>
      <c r="AV378" s="12"/>
      <c r="AW378" s="137"/>
      <c r="AX378" s="13"/>
      <c r="AY378" s="138"/>
      <c r="AZ378" s="140"/>
      <c r="BA378" s="18"/>
      <c r="BB378" s="18" t="e">
        <f>IF(#REF!&lt;&gt;0,IF(LL[[#This Row],[Date of Birth]]&lt;&gt;0,YEAR(#REF!-LL[[#This Row],[Date of Birth]])-1900,""),"")</f>
        <v>#REF!</v>
      </c>
      <c r="BC378" s="2" t="str">
        <f>IF(LL[[#This Row],[Sx Onset Date]]&gt;0,LL[[#This Row],[Sx Onset Date]],"")</f>
        <v/>
      </c>
      <c r="BD378" s="2" t="str">
        <f>IF(LL[[#This Row],[Lab-confirmed?]]="Y",LL[[#This Row],[Test Date]],"")</f>
        <v/>
      </c>
      <c r="BE378" s="2" t="str">
        <f>IF(LL[[#This Row],[Lab-confirmed?]]="Y",LL[[#This Row],[Test Date 2]],"")</f>
        <v/>
      </c>
      <c r="BF378" s="139" t="str">
        <f>IF(LL[[#This Row],[Date Reported to Public Health]]&gt;0,LL[[#This Row],[Date Reported to Public Health]],"")</f>
        <v/>
      </c>
      <c r="BG378" s="13" t="str">
        <f t="shared" si="5"/>
        <v/>
      </c>
    </row>
    <row r="379" spans="1:59" x14ac:dyDescent="0.3">
      <c r="A379" s="11">
        <v>375</v>
      </c>
      <c r="B379" s="12"/>
      <c r="C379" s="13"/>
      <c r="D379" s="12"/>
      <c r="E379" s="12"/>
      <c r="F379" s="12"/>
      <c r="G379" s="16"/>
      <c r="H379" s="12"/>
      <c r="I379" s="14"/>
      <c r="J379" s="137"/>
      <c r="K379" s="137"/>
      <c r="L379" s="18"/>
      <c r="M379" s="139"/>
      <c r="N379" s="140"/>
      <c r="O379" s="137"/>
      <c r="P379" s="137"/>
      <c r="Q379" s="15"/>
      <c r="R379" s="12"/>
      <c r="S379" s="12"/>
      <c r="T379" s="12"/>
      <c r="U379" s="14"/>
      <c r="V379" s="15"/>
      <c r="W379" s="12"/>
      <c r="X379" s="12"/>
      <c r="Y379" s="12"/>
      <c r="Z379" s="12"/>
      <c r="AA379" s="12"/>
      <c r="AB379" s="14"/>
      <c r="AC379" s="15"/>
      <c r="AD379" s="12"/>
      <c r="AE379" s="12"/>
      <c r="AF379" s="14"/>
      <c r="AG379" s="18"/>
      <c r="AH379" s="18"/>
      <c r="AI379" s="17"/>
      <c r="AJ379" s="181"/>
      <c r="AK379" s="13"/>
      <c r="AL379" s="181"/>
      <c r="AM379" s="175"/>
      <c r="AN379" s="192"/>
      <c r="AO379" s="13"/>
      <c r="AP379" s="181"/>
      <c r="AQ379" s="175"/>
      <c r="AR379" s="18"/>
      <c r="AS379" s="12"/>
      <c r="AT379" s="12"/>
      <c r="AU379" s="12"/>
      <c r="AV379" s="12"/>
      <c r="AW379" s="137"/>
      <c r="AX379" s="13"/>
      <c r="AY379" s="138"/>
      <c r="AZ379" s="140"/>
      <c r="BA379" s="18"/>
      <c r="BB379" s="18" t="e">
        <f>IF(#REF!&lt;&gt;0,IF(LL[[#This Row],[Date of Birth]]&lt;&gt;0,YEAR(#REF!-LL[[#This Row],[Date of Birth]])-1900,""),"")</f>
        <v>#REF!</v>
      </c>
      <c r="BC379" s="2" t="str">
        <f>IF(LL[[#This Row],[Sx Onset Date]]&gt;0,LL[[#This Row],[Sx Onset Date]],"")</f>
        <v/>
      </c>
      <c r="BD379" s="2" t="str">
        <f>IF(LL[[#This Row],[Lab-confirmed?]]="Y",LL[[#This Row],[Test Date]],"")</f>
        <v/>
      </c>
      <c r="BE379" s="2" t="str">
        <f>IF(LL[[#This Row],[Lab-confirmed?]]="Y",LL[[#This Row],[Test Date 2]],"")</f>
        <v/>
      </c>
      <c r="BF379" s="139" t="str">
        <f>IF(LL[[#This Row],[Date Reported to Public Health]]&gt;0,LL[[#This Row],[Date Reported to Public Health]],"")</f>
        <v/>
      </c>
      <c r="BG379" s="13" t="str">
        <f t="shared" si="5"/>
        <v/>
      </c>
    </row>
    <row r="380" spans="1:59" x14ac:dyDescent="0.3">
      <c r="A380" s="11">
        <v>376</v>
      </c>
      <c r="B380" s="12"/>
      <c r="C380" s="13"/>
      <c r="D380" s="12"/>
      <c r="E380" s="12"/>
      <c r="F380" s="12"/>
      <c r="G380" s="16"/>
      <c r="H380" s="12"/>
      <c r="I380" s="14"/>
      <c r="J380" s="137"/>
      <c r="K380" s="137"/>
      <c r="L380" s="18"/>
      <c r="M380" s="139"/>
      <c r="N380" s="140"/>
      <c r="O380" s="137"/>
      <c r="P380" s="137"/>
      <c r="Q380" s="15"/>
      <c r="R380" s="12"/>
      <c r="S380" s="12"/>
      <c r="T380" s="12"/>
      <c r="U380" s="14"/>
      <c r="V380" s="15"/>
      <c r="W380" s="12"/>
      <c r="X380" s="12"/>
      <c r="Y380" s="12"/>
      <c r="Z380" s="12"/>
      <c r="AA380" s="12"/>
      <c r="AB380" s="14"/>
      <c r="AC380" s="15"/>
      <c r="AD380" s="12"/>
      <c r="AE380" s="12"/>
      <c r="AF380" s="14"/>
      <c r="AG380" s="18"/>
      <c r="AH380" s="18"/>
      <c r="AI380" s="17"/>
      <c r="AJ380" s="181"/>
      <c r="AK380" s="13"/>
      <c r="AL380" s="181"/>
      <c r="AM380" s="175"/>
      <c r="AN380" s="192"/>
      <c r="AO380" s="13"/>
      <c r="AP380" s="181"/>
      <c r="AQ380" s="175"/>
      <c r="AR380" s="18"/>
      <c r="AS380" s="12"/>
      <c r="AT380" s="12"/>
      <c r="AU380" s="12"/>
      <c r="AV380" s="12"/>
      <c r="AW380" s="137"/>
      <c r="AX380" s="13"/>
      <c r="AY380" s="138"/>
      <c r="AZ380" s="140"/>
      <c r="BA380" s="18"/>
      <c r="BB380" s="18" t="e">
        <f>IF(#REF!&lt;&gt;0,IF(LL[[#This Row],[Date of Birth]]&lt;&gt;0,YEAR(#REF!-LL[[#This Row],[Date of Birth]])-1900,""),"")</f>
        <v>#REF!</v>
      </c>
      <c r="BC380" s="2" t="str">
        <f>IF(LL[[#This Row],[Sx Onset Date]]&gt;0,LL[[#This Row],[Sx Onset Date]],"")</f>
        <v/>
      </c>
      <c r="BD380" s="2" t="str">
        <f>IF(LL[[#This Row],[Lab-confirmed?]]="Y",LL[[#This Row],[Test Date]],"")</f>
        <v/>
      </c>
      <c r="BE380" s="2" t="str">
        <f>IF(LL[[#This Row],[Lab-confirmed?]]="Y",LL[[#This Row],[Test Date 2]],"")</f>
        <v/>
      </c>
      <c r="BF380" s="139" t="str">
        <f>IF(LL[[#This Row],[Date Reported to Public Health]]&gt;0,LL[[#This Row],[Date Reported to Public Health]],"")</f>
        <v/>
      </c>
      <c r="BG380" s="13" t="str">
        <f t="shared" si="5"/>
        <v/>
      </c>
    </row>
    <row r="381" spans="1:59" x14ac:dyDescent="0.3">
      <c r="A381" s="11">
        <v>377</v>
      </c>
      <c r="B381" s="12"/>
      <c r="C381" s="13"/>
      <c r="D381" s="12"/>
      <c r="E381" s="12"/>
      <c r="F381" s="12"/>
      <c r="G381" s="16"/>
      <c r="H381" s="12"/>
      <c r="I381" s="14"/>
      <c r="J381" s="137"/>
      <c r="K381" s="137"/>
      <c r="L381" s="18"/>
      <c r="M381" s="139"/>
      <c r="N381" s="140"/>
      <c r="O381" s="137"/>
      <c r="P381" s="137"/>
      <c r="Q381" s="15"/>
      <c r="R381" s="12"/>
      <c r="S381" s="12"/>
      <c r="T381" s="12"/>
      <c r="U381" s="14"/>
      <c r="V381" s="15"/>
      <c r="W381" s="12"/>
      <c r="X381" s="12"/>
      <c r="Y381" s="12"/>
      <c r="Z381" s="12"/>
      <c r="AA381" s="12"/>
      <c r="AB381" s="14"/>
      <c r="AC381" s="15"/>
      <c r="AD381" s="12"/>
      <c r="AE381" s="12"/>
      <c r="AF381" s="14"/>
      <c r="AG381" s="18"/>
      <c r="AH381" s="18"/>
      <c r="AI381" s="17"/>
      <c r="AJ381" s="181"/>
      <c r="AK381" s="13"/>
      <c r="AL381" s="181"/>
      <c r="AM381" s="175"/>
      <c r="AN381" s="192"/>
      <c r="AO381" s="13"/>
      <c r="AP381" s="181"/>
      <c r="AQ381" s="175"/>
      <c r="AR381" s="18"/>
      <c r="AS381" s="12"/>
      <c r="AT381" s="12"/>
      <c r="AU381" s="12"/>
      <c r="AV381" s="12"/>
      <c r="AW381" s="137"/>
      <c r="AX381" s="13"/>
      <c r="AY381" s="138"/>
      <c r="AZ381" s="140"/>
      <c r="BA381" s="18"/>
      <c r="BB381" s="18" t="e">
        <f>IF(#REF!&lt;&gt;0,IF(LL[[#This Row],[Date of Birth]]&lt;&gt;0,YEAR(#REF!-LL[[#This Row],[Date of Birth]])-1900,""),"")</f>
        <v>#REF!</v>
      </c>
      <c r="BC381" s="2" t="str">
        <f>IF(LL[[#This Row],[Sx Onset Date]]&gt;0,LL[[#This Row],[Sx Onset Date]],"")</f>
        <v/>
      </c>
      <c r="BD381" s="2" t="str">
        <f>IF(LL[[#This Row],[Lab-confirmed?]]="Y",LL[[#This Row],[Test Date]],"")</f>
        <v/>
      </c>
      <c r="BE381" s="2" t="str">
        <f>IF(LL[[#This Row],[Lab-confirmed?]]="Y",LL[[#This Row],[Test Date 2]],"")</f>
        <v/>
      </c>
      <c r="BF381" s="139" t="str">
        <f>IF(LL[[#This Row],[Date Reported to Public Health]]&gt;0,LL[[#This Row],[Date Reported to Public Health]],"")</f>
        <v/>
      </c>
      <c r="BG381" s="13" t="str">
        <f t="shared" si="5"/>
        <v/>
      </c>
    </row>
    <row r="382" spans="1:59" x14ac:dyDescent="0.3">
      <c r="A382" s="11">
        <v>378</v>
      </c>
      <c r="B382" s="12"/>
      <c r="C382" s="13"/>
      <c r="D382" s="12"/>
      <c r="E382" s="12"/>
      <c r="F382" s="12"/>
      <c r="G382" s="16"/>
      <c r="H382" s="12"/>
      <c r="I382" s="14"/>
      <c r="J382" s="137"/>
      <c r="K382" s="137"/>
      <c r="L382" s="18"/>
      <c r="M382" s="139"/>
      <c r="N382" s="140"/>
      <c r="O382" s="137"/>
      <c r="P382" s="137"/>
      <c r="Q382" s="15"/>
      <c r="R382" s="12"/>
      <c r="S382" s="12"/>
      <c r="T382" s="12"/>
      <c r="U382" s="14"/>
      <c r="V382" s="15"/>
      <c r="W382" s="12"/>
      <c r="X382" s="12"/>
      <c r="Y382" s="12"/>
      <c r="Z382" s="12"/>
      <c r="AA382" s="12"/>
      <c r="AB382" s="14"/>
      <c r="AC382" s="15"/>
      <c r="AD382" s="12"/>
      <c r="AE382" s="12"/>
      <c r="AF382" s="14"/>
      <c r="AG382" s="18"/>
      <c r="AH382" s="18"/>
      <c r="AI382" s="17"/>
      <c r="AJ382" s="181"/>
      <c r="AK382" s="13"/>
      <c r="AL382" s="181"/>
      <c r="AM382" s="175"/>
      <c r="AN382" s="192"/>
      <c r="AO382" s="13"/>
      <c r="AP382" s="181"/>
      <c r="AQ382" s="175"/>
      <c r="AR382" s="18"/>
      <c r="AS382" s="12"/>
      <c r="AT382" s="12"/>
      <c r="AU382" s="12"/>
      <c r="AV382" s="12"/>
      <c r="AW382" s="137"/>
      <c r="AX382" s="13"/>
      <c r="AY382" s="138"/>
      <c r="AZ382" s="140"/>
      <c r="BA382" s="18"/>
      <c r="BB382" s="18" t="e">
        <f>IF(#REF!&lt;&gt;0,IF(LL[[#This Row],[Date of Birth]]&lt;&gt;0,YEAR(#REF!-LL[[#This Row],[Date of Birth]])-1900,""),"")</f>
        <v>#REF!</v>
      </c>
      <c r="BC382" s="2" t="str">
        <f>IF(LL[[#This Row],[Sx Onset Date]]&gt;0,LL[[#This Row],[Sx Onset Date]],"")</f>
        <v/>
      </c>
      <c r="BD382" s="2" t="str">
        <f>IF(LL[[#This Row],[Lab-confirmed?]]="Y",LL[[#This Row],[Test Date]],"")</f>
        <v/>
      </c>
      <c r="BE382" s="2" t="str">
        <f>IF(LL[[#This Row],[Lab-confirmed?]]="Y",LL[[#This Row],[Test Date 2]],"")</f>
        <v/>
      </c>
      <c r="BF382" s="139" t="str">
        <f>IF(LL[[#This Row],[Date Reported to Public Health]]&gt;0,LL[[#This Row],[Date Reported to Public Health]],"")</f>
        <v/>
      </c>
      <c r="BG382" s="13" t="str">
        <f t="shared" si="5"/>
        <v/>
      </c>
    </row>
    <row r="383" spans="1:59" x14ac:dyDescent="0.3">
      <c r="A383" s="11">
        <v>379</v>
      </c>
      <c r="B383" s="12"/>
      <c r="C383" s="13"/>
      <c r="D383" s="12"/>
      <c r="E383" s="12"/>
      <c r="F383" s="12"/>
      <c r="G383" s="16"/>
      <c r="H383" s="12"/>
      <c r="I383" s="14"/>
      <c r="J383" s="137"/>
      <c r="K383" s="137"/>
      <c r="L383" s="18"/>
      <c r="M383" s="139"/>
      <c r="N383" s="140"/>
      <c r="O383" s="137"/>
      <c r="P383" s="137"/>
      <c r="Q383" s="15"/>
      <c r="R383" s="12"/>
      <c r="S383" s="12"/>
      <c r="T383" s="12"/>
      <c r="U383" s="14"/>
      <c r="V383" s="15"/>
      <c r="W383" s="12"/>
      <c r="X383" s="12"/>
      <c r="Y383" s="12"/>
      <c r="Z383" s="12"/>
      <c r="AA383" s="12"/>
      <c r="AB383" s="14"/>
      <c r="AC383" s="15"/>
      <c r="AD383" s="12"/>
      <c r="AE383" s="12"/>
      <c r="AF383" s="14"/>
      <c r="AG383" s="18"/>
      <c r="AH383" s="18"/>
      <c r="AI383" s="17"/>
      <c r="AJ383" s="181"/>
      <c r="AK383" s="13"/>
      <c r="AL383" s="181"/>
      <c r="AM383" s="175"/>
      <c r="AN383" s="192"/>
      <c r="AO383" s="13"/>
      <c r="AP383" s="181"/>
      <c r="AQ383" s="175"/>
      <c r="AR383" s="18"/>
      <c r="AS383" s="12"/>
      <c r="AT383" s="12"/>
      <c r="AU383" s="12"/>
      <c r="AV383" s="12"/>
      <c r="AW383" s="137"/>
      <c r="AX383" s="13"/>
      <c r="AY383" s="138"/>
      <c r="AZ383" s="140"/>
      <c r="BA383" s="18"/>
      <c r="BB383" s="18" t="e">
        <f>IF(#REF!&lt;&gt;0,IF(LL[[#This Row],[Date of Birth]]&lt;&gt;0,YEAR(#REF!-LL[[#This Row],[Date of Birth]])-1900,""),"")</f>
        <v>#REF!</v>
      </c>
      <c r="BC383" s="2" t="str">
        <f>IF(LL[[#This Row],[Sx Onset Date]]&gt;0,LL[[#This Row],[Sx Onset Date]],"")</f>
        <v/>
      </c>
      <c r="BD383" s="2" t="str">
        <f>IF(LL[[#This Row],[Lab-confirmed?]]="Y",LL[[#This Row],[Test Date]],"")</f>
        <v/>
      </c>
      <c r="BE383" s="2" t="str">
        <f>IF(LL[[#This Row],[Lab-confirmed?]]="Y",LL[[#This Row],[Test Date 2]],"")</f>
        <v/>
      </c>
      <c r="BF383" s="139" t="str">
        <f>IF(LL[[#This Row],[Date Reported to Public Health]]&gt;0,LL[[#This Row],[Date Reported to Public Health]],"")</f>
        <v/>
      </c>
      <c r="BG383" s="13" t="str">
        <f t="shared" si="5"/>
        <v/>
      </c>
    </row>
    <row r="384" spans="1:59" x14ac:dyDescent="0.3">
      <c r="A384" s="11">
        <v>380</v>
      </c>
      <c r="B384" s="12"/>
      <c r="C384" s="13"/>
      <c r="D384" s="12"/>
      <c r="E384" s="12"/>
      <c r="F384" s="12"/>
      <c r="G384" s="16"/>
      <c r="H384" s="12"/>
      <c r="I384" s="14"/>
      <c r="J384" s="137"/>
      <c r="K384" s="137"/>
      <c r="L384" s="18"/>
      <c r="M384" s="139"/>
      <c r="N384" s="140"/>
      <c r="O384" s="137"/>
      <c r="P384" s="137"/>
      <c r="Q384" s="15"/>
      <c r="R384" s="12"/>
      <c r="S384" s="12"/>
      <c r="T384" s="12"/>
      <c r="U384" s="14"/>
      <c r="V384" s="15"/>
      <c r="W384" s="12"/>
      <c r="X384" s="12"/>
      <c r="Y384" s="12"/>
      <c r="Z384" s="12"/>
      <c r="AA384" s="12"/>
      <c r="AB384" s="14"/>
      <c r="AC384" s="15"/>
      <c r="AD384" s="12"/>
      <c r="AE384" s="12"/>
      <c r="AF384" s="14"/>
      <c r="AG384" s="18"/>
      <c r="AH384" s="18"/>
      <c r="AI384" s="17"/>
      <c r="AJ384" s="181"/>
      <c r="AK384" s="13"/>
      <c r="AL384" s="181"/>
      <c r="AM384" s="175"/>
      <c r="AN384" s="192"/>
      <c r="AO384" s="13"/>
      <c r="AP384" s="181"/>
      <c r="AQ384" s="175"/>
      <c r="AR384" s="18"/>
      <c r="AS384" s="12"/>
      <c r="AT384" s="12"/>
      <c r="AU384" s="12"/>
      <c r="AV384" s="12"/>
      <c r="AW384" s="137"/>
      <c r="AX384" s="13"/>
      <c r="AY384" s="138"/>
      <c r="AZ384" s="140"/>
      <c r="BA384" s="18"/>
      <c r="BB384" s="18" t="e">
        <f>IF(#REF!&lt;&gt;0,IF(LL[[#This Row],[Date of Birth]]&lt;&gt;0,YEAR(#REF!-LL[[#This Row],[Date of Birth]])-1900,""),"")</f>
        <v>#REF!</v>
      </c>
      <c r="BC384" s="2" t="str">
        <f>IF(LL[[#This Row],[Sx Onset Date]]&gt;0,LL[[#This Row],[Sx Onset Date]],"")</f>
        <v/>
      </c>
      <c r="BD384" s="2" t="str">
        <f>IF(LL[[#This Row],[Lab-confirmed?]]="Y",LL[[#This Row],[Test Date]],"")</f>
        <v/>
      </c>
      <c r="BE384" s="2" t="str">
        <f>IF(LL[[#This Row],[Lab-confirmed?]]="Y",LL[[#This Row],[Test Date 2]],"")</f>
        <v/>
      </c>
      <c r="BF384" s="139" t="str">
        <f>IF(LL[[#This Row],[Date Reported to Public Health]]&gt;0,LL[[#This Row],[Date Reported to Public Health]],"")</f>
        <v/>
      </c>
      <c r="BG384" s="13" t="str">
        <f t="shared" si="5"/>
        <v/>
      </c>
    </row>
    <row r="385" spans="1:59" x14ac:dyDescent="0.3">
      <c r="A385" s="11">
        <v>381</v>
      </c>
      <c r="B385" s="12"/>
      <c r="C385" s="13"/>
      <c r="D385" s="12"/>
      <c r="E385" s="12"/>
      <c r="F385" s="12"/>
      <c r="G385" s="16"/>
      <c r="H385" s="12"/>
      <c r="I385" s="14"/>
      <c r="J385" s="137"/>
      <c r="K385" s="137"/>
      <c r="L385" s="18"/>
      <c r="M385" s="139"/>
      <c r="N385" s="140"/>
      <c r="O385" s="137"/>
      <c r="P385" s="137"/>
      <c r="Q385" s="15"/>
      <c r="R385" s="12"/>
      <c r="S385" s="12"/>
      <c r="T385" s="12"/>
      <c r="U385" s="14"/>
      <c r="V385" s="15"/>
      <c r="W385" s="12"/>
      <c r="X385" s="12"/>
      <c r="Y385" s="12"/>
      <c r="Z385" s="12"/>
      <c r="AA385" s="12"/>
      <c r="AB385" s="14"/>
      <c r="AC385" s="15"/>
      <c r="AD385" s="12"/>
      <c r="AE385" s="12"/>
      <c r="AF385" s="14"/>
      <c r="AG385" s="18"/>
      <c r="AH385" s="18"/>
      <c r="AI385" s="17"/>
      <c r="AJ385" s="181"/>
      <c r="AK385" s="13"/>
      <c r="AL385" s="181"/>
      <c r="AM385" s="175"/>
      <c r="AN385" s="192"/>
      <c r="AO385" s="13"/>
      <c r="AP385" s="181"/>
      <c r="AQ385" s="175"/>
      <c r="AR385" s="18"/>
      <c r="AS385" s="12"/>
      <c r="AT385" s="12"/>
      <c r="AU385" s="12"/>
      <c r="AV385" s="12"/>
      <c r="AW385" s="137"/>
      <c r="AX385" s="13"/>
      <c r="AY385" s="138"/>
      <c r="AZ385" s="140"/>
      <c r="BA385" s="18"/>
      <c r="BB385" s="18" t="e">
        <f>IF(#REF!&lt;&gt;0,IF(LL[[#This Row],[Date of Birth]]&lt;&gt;0,YEAR(#REF!-LL[[#This Row],[Date of Birth]])-1900,""),"")</f>
        <v>#REF!</v>
      </c>
      <c r="BC385" s="2" t="str">
        <f>IF(LL[[#This Row],[Sx Onset Date]]&gt;0,LL[[#This Row],[Sx Onset Date]],"")</f>
        <v/>
      </c>
      <c r="BD385" s="2" t="str">
        <f>IF(LL[[#This Row],[Lab-confirmed?]]="Y",LL[[#This Row],[Test Date]],"")</f>
        <v/>
      </c>
      <c r="BE385" s="2" t="str">
        <f>IF(LL[[#This Row],[Lab-confirmed?]]="Y",LL[[#This Row],[Test Date 2]],"")</f>
        <v/>
      </c>
      <c r="BF385" s="139" t="str">
        <f>IF(LL[[#This Row],[Date Reported to Public Health]]&gt;0,LL[[#This Row],[Date Reported to Public Health]],"")</f>
        <v/>
      </c>
      <c r="BG385" s="13" t="str">
        <f t="shared" si="5"/>
        <v/>
      </c>
    </row>
    <row r="386" spans="1:59" x14ac:dyDescent="0.3">
      <c r="A386" s="11">
        <v>382</v>
      </c>
      <c r="B386" s="12"/>
      <c r="C386" s="13"/>
      <c r="D386" s="12"/>
      <c r="E386" s="12"/>
      <c r="F386" s="12"/>
      <c r="G386" s="16"/>
      <c r="H386" s="12"/>
      <c r="I386" s="14"/>
      <c r="J386" s="137"/>
      <c r="K386" s="137"/>
      <c r="L386" s="18"/>
      <c r="M386" s="139"/>
      <c r="N386" s="140"/>
      <c r="O386" s="137"/>
      <c r="P386" s="137"/>
      <c r="Q386" s="15"/>
      <c r="R386" s="12"/>
      <c r="S386" s="12"/>
      <c r="T386" s="12"/>
      <c r="U386" s="14"/>
      <c r="V386" s="15"/>
      <c r="W386" s="12"/>
      <c r="X386" s="12"/>
      <c r="Y386" s="12"/>
      <c r="Z386" s="12"/>
      <c r="AA386" s="12"/>
      <c r="AB386" s="14"/>
      <c r="AC386" s="15"/>
      <c r="AD386" s="12"/>
      <c r="AE386" s="12"/>
      <c r="AF386" s="14"/>
      <c r="AG386" s="18"/>
      <c r="AH386" s="18"/>
      <c r="AI386" s="17"/>
      <c r="AJ386" s="181"/>
      <c r="AK386" s="13"/>
      <c r="AL386" s="181"/>
      <c r="AM386" s="175"/>
      <c r="AN386" s="192"/>
      <c r="AO386" s="13"/>
      <c r="AP386" s="181"/>
      <c r="AQ386" s="175"/>
      <c r="AR386" s="18"/>
      <c r="AS386" s="12"/>
      <c r="AT386" s="12"/>
      <c r="AU386" s="12"/>
      <c r="AV386" s="12"/>
      <c r="AW386" s="137"/>
      <c r="AX386" s="13"/>
      <c r="AY386" s="138"/>
      <c r="AZ386" s="140"/>
      <c r="BA386" s="18"/>
      <c r="BB386" s="18" t="e">
        <f>IF(#REF!&lt;&gt;0,IF(LL[[#This Row],[Date of Birth]]&lt;&gt;0,YEAR(#REF!-LL[[#This Row],[Date of Birth]])-1900,""),"")</f>
        <v>#REF!</v>
      </c>
      <c r="BC386" s="2" t="str">
        <f>IF(LL[[#This Row],[Sx Onset Date]]&gt;0,LL[[#This Row],[Sx Onset Date]],"")</f>
        <v/>
      </c>
      <c r="BD386" s="2" t="str">
        <f>IF(LL[[#This Row],[Lab-confirmed?]]="Y",LL[[#This Row],[Test Date]],"")</f>
        <v/>
      </c>
      <c r="BE386" s="2" t="str">
        <f>IF(LL[[#This Row],[Lab-confirmed?]]="Y",LL[[#This Row],[Test Date 2]],"")</f>
        <v/>
      </c>
      <c r="BF386" s="139" t="str">
        <f>IF(LL[[#This Row],[Date Reported to Public Health]]&gt;0,LL[[#This Row],[Date Reported to Public Health]],"")</f>
        <v/>
      </c>
      <c r="BG386" s="13" t="str">
        <f t="shared" si="5"/>
        <v/>
      </c>
    </row>
    <row r="387" spans="1:59" x14ac:dyDescent="0.3">
      <c r="A387" s="11">
        <v>383</v>
      </c>
      <c r="B387" s="12"/>
      <c r="C387" s="13"/>
      <c r="D387" s="12"/>
      <c r="E387" s="12"/>
      <c r="F387" s="12"/>
      <c r="G387" s="16"/>
      <c r="H387" s="12"/>
      <c r="I387" s="14"/>
      <c r="J387" s="137"/>
      <c r="K387" s="137"/>
      <c r="L387" s="18"/>
      <c r="M387" s="139"/>
      <c r="N387" s="140"/>
      <c r="O387" s="137"/>
      <c r="P387" s="137"/>
      <c r="Q387" s="15"/>
      <c r="R387" s="12"/>
      <c r="S387" s="12"/>
      <c r="T387" s="12"/>
      <c r="U387" s="14"/>
      <c r="V387" s="15"/>
      <c r="W387" s="12"/>
      <c r="X387" s="12"/>
      <c r="Y387" s="12"/>
      <c r="Z387" s="12"/>
      <c r="AA387" s="12"/>
      <c r="AB387" s="14"/>
      <c r="AC387" s="15"/>
      <c r="AD387" s="12"/>
      <c r="AE387" s="12"/>
      <c r="AF387" s="14"/>
      <c r="AG387" s="18"/>
      <c r="AH387" s="18"/>
      <c r="AI387" s="17"/>
      <c r="AJ387" s="181"/>
      <c r="AK387" s="13"/>
      <c r="AL387" s="181"/>
      <c r="AM387" s="175"/>
      <c r="AN387" s="192"/>
      <c r="AO387" s="13"/>
      <c r="AP387" s="181"/>
      <c r="AQ387" s="175"/>
      <c r="AR387" s="18"/>
      <c r="AS387" s="12"/>
      <c r="AT387" s="12"/>
      <c r="AU387" s="12"/>
      <c r="AV387" s="12"/>
      <c r="AW387" s="137"/>
      <c r="AX387" s="13"/>
      <c r="AY387" s="138"/>
      <c r="AZ387" s="140"/>
      <c r="BA387" s="18"/>
      <c r="BB387" s="18" t="e">
        <f>IF(#REF!&lt;&gt;0,IF(LL[[#This Row],[Date of Birth]]&lt;&gt;0,YEAR(#REF!-LL[[#This Row],[Date of Birth]])-1900,""),"")</f>
        <v>#REF!</v>
      </c>
      <c r="BC387" s="2" t="str">
        <f>IF(LL[[#This Row],[Sx Onset Date]]&gt;0,LL[[#This Row],[Sx Onset Date]],"")</f>
        <v/>
      </c>
      <c r="BD387" s="2" t="str">
        <f>IF(LL[[#This Row],[Lab-confirmed?]]="Y",LL[[#This Row],[Test Date]],"")</f>
        <v/>
      </c>
      <c r="BE387" s="2" t="str">
        <f>IF(LL[[#This Row],[Lab-confirmed?]]="Y",LL[[#This Row],[Test Date 2]],"")</f>
        <v/>
      </c>
      <c r="BF387" s="139" t="str">
        <f>IF(LL[[#This Row],[Date Reported to Public Health]]&gt;0,LL[[#This Row],[Date Reported to Public Health]],"")</f>
        <v/>
      </c>
      <c r="BG387" s="13" t="str">
        <f t="shared" si="5"/>
        <v/>
      </c>
    </row>
    <row r="388" spans="1:59" x14ac:dyDescent="0.3">
      <c r="A388" s="11">
        <v>384</v>
      </c>
      <c r="B388" s="12"/>
      <c r="C388" s="13"/>
      <c r="D388" s="12"/>
      <c r="E388" s="12"/>
      <c r="F388" s="12"/>
      <c r="G388" s="16"/>
      <c r="H388" s="12"/>
      <c r="I388" s="14"/>
      <c r="J388" s="137"/>
      <c r="K388" s="137"/>
      <c r="L388" s="18"/>
      <c r="M388" s="139"/>
      <c r="N388" s="140"/>
      <c r="O388" s="137"/>
      <c r="P388" s="137"/>
      <c r="Q388" s="15"/>
      <c r="R388" s="12"/>
      <c r="S388" s="12"/>
      <c r="T388" s="12"/>
      <c r="U388" s="14"/>
      <c r="V388" s="15"/>
      <c r="W388" s="12"/>
      <c r="X388" s="12"/>
      <c r="Y388" s="12"/>
      <c r="Z388" s="12"/>
      <c r="AA388" s="12"/>
      <c r="AB388" s="14"/>
      <c r="AC388" s="15"/>
      <c r="AD388" s="12"/>
      <c r="AE388" s="12"/>
      <c r="AF388" s="14"/>
      <c r="AG388" s="18"/>
      <c r="AH388" s="18"/>
      <c r="AI388" s="17"/>
      <c r="AJ388" s="181"/>
      <c r="AK388" s="13"/>
      <c r="AL388" s="181"/>
      <c r="AM388" s="175"/>
      <c r="AN388" s="192"/>
      <c r="AO388" s="13"/>
      <c r="AP388" s="181"/>
      <c r="AQ388" s="175"/>
      <c r="AR388" s="18"/>
      <c r="AS388" s="12"/>
      <c r="AT388" s="12"/>
      <c r="AU388" s="12"/>
      <c r="AV388" s="12"/>
      <c r="AW388" s="137"/>
      <c r="AX388" s="13"/>
      <c r="AY388" s="138"/>
      <c r="AZ388" s="140"/>
      <c r="BA388" s="18"/>
      <c r="BB388" s="18" t="e">
        <f>IF(#REF!&lt;&gt;0,IF(LL[[#This Row],[Date of Birth]]&lt;&gt;0,YEAR(#REF!-LL[[#This Row],[Date of Birth]])-1900,""),"")</f>
        <v>#REF!</v>
      </c>
      <c r="BC388" s="2" t="str">
        <f>IF(LL[[#This Row],[Sx Onset Date]]&gt;0,LL[[#This Row],[Sx Onset Date]],"")</f>
        <v/>
      </c>
      <c r="BD388" s="2" t="str">
        <f>IF(LL[[#This Row],[Lab-confirmed?]]="Y",LL[[#This Row],[Test Date]],"")</f>
        <v/>
      </c>
      <c r="BE388" s="2" t="str">
        <f>IF(LL[[#This Row],[Lab-confirmed?]]="Y",LL[[#This Row],[Test Date 2]],"")</f>
        <v/>
      </c>
      <c r="BF388" s="139" t="str">
        <f>IF(LL[[#This Row],[Date Reported to Public Health]]&gt;0,LL[[#This Row],[Date Reported to Public Health]],"")</f>
        <v/>
      </c>
      <c r="BG388" s="13" t="str">
        <f t="shared" si="5"/>
        <v/>
      </c>
    </row>
    <row r="389" spans="1:59" x14ac:dyDescent="0.3">
      <c r="A389" s="11">
        <v>385</v>
      </c>
      <c r="B389" s="12"/>
      <c r="C389" s="13"/>
      <c r="D389" s="12"/>
      <c r="E389" s="12"/>
      <c r="F389" s="12"/>
      <c r="G389" s="16"/>
      <c r="H389" s="12"/>
      <c r="I389" s="14"/>
      <c r="J389" s="137"/>
      <c r="K389" s="137"/>
      <c r="L389" s="18"/>
      <c r="M389" s="139"/>
      <c r="N389" s="140"/>
      <c r="O389" s="137"/>
      <c r="P389" s="137"/>
      <c r="Q389" s="15"/>
      <c r="R389" s="12"/>
      <c r="S389" s="12"/>
      <c r="T389" s="12"/>
      <c r="U389" s="14"/>
      <c r="V389" s="15"/>
      <c r="W389" s="12"/>
      <c r="X389" s="12"/>
      <c r="Y389" s="12"/>
      <c r="Z389" s="12"/>
      <c r="AA389" s="12"/>
      <c r="AB389" s="14"/>
      <c r="AC389" s="15"/>
      <c r="AD389" s="12"/>
      <c r="AE389" s="12"/>
      <c r="AF389" s="14"/>
      <c r="AG389" s="18"/>
      <c r="AH389" s="18"/>
      <c r="AI389" s="17"/>
      <c r="AJ389" s="181"/>
      <c r="AK389" s="13"/>
      <c r="AL389" s="181"/>
      <c r="AM389" s="175"/>
      <c r="AN389" s="192"/>
      <c r="AO389" s="13"/>
      <c r="AP389" s="181"/>
      <c r="AQ389" s="175"/>
      <c r="AR389" s="18"/>
      <c r="AS389" s="12"/>
      <c r="AT389" s="12"/>
      <c r="AU389" s="12"/>
      <c r="AV389" s="12"/>
      <c r="AW389" s="137"/>
      <c r="AX389" s="13"/>
      <c r="AY389" s="138"/>
      <c r="AZ389" s="140"/>
      <c r="BA389" s="18"/>
      <c r="BB389" s="18" t="e">
        <f>IF(#REF!&lt;&gt;0,IF(LL[[#This Row],[Date of Birth]]&lt;&gt;0,YEAR(#REF!-LL[[#This Row],[Date of Birth]])-1900,""),"")</f>
        <v>#REF!</v>
      </c>
      <c r="BC389" s="2" t="str">
        <f>IF(LL[[#This Row],[Sx Onset Date]]&gt;0,LL[[#This Row],[Sx Onset Date]],"")</f>
        <v/>
      </c>
      <c r="BD389" s="2" t="str">
        <f>IF(LL[[#This Row],[Lab-confirmed?]]="Y",LL[[#This Row],[Test Date]],"")</f>
        <v/>
      </c>
      <c r="BE389" s="2" t="str">
        <f>IF(LL[[#This Row],[Lab-confirmed?]]="Y",LL[[#This Row],[Test Date 2]],"")</f>
        <v/>
      </c>
      <c r="BF389" s="139" t="str">
        <f>IF(LL[[#This Row],[Date Reported to Public Health]]&gt;0,LL[[#This Row],[Date Reported to Public Health]],"")</f>
        <v/>
      </c>
      <c r="BG389" s="13" t="str">
        <f t="shared" ref="BG389:BG404" si="6">IF(_xlfn.MINIFS(BC389:BF389,BC389:BF389,"&gt;"&amp;0)&gt;0,_xlfn.MINIFS(BC389:BF389,BC389:BF389,"&gt;"&amp;0),"")</f>
        <v/>
      </c>
    </row>
    <row r="390" spans="1:59" x14ac:dyDescent="0.3">
      <c r="A390" s="11">
        <v>386</v>
      </c>
      <c r="B390" s="12"/>
      <c r="C390" s="13"/>
      <c r="D390" s="12"/>
      <c r="E390" s="12"/>
      <c r="F390" s="12"/>
      <c r="G390" s="16"/>
      <c r="H390" s="12"/>
      <c r="I390" s="14"/>
      <c r="J390" s="137"/>
      <c r="K390" s="137"/>
      <c r="L390" s="18"/>
      <c r="M390" s="139"/>
      <c r="N390" s="140"/>
      <c r="O390" s="137"/>
      <c r="P390" s="137"/>
      <c r="Q390" s="15"/>
      <c r="R390" s="12"/>
      <c r="S390" s="12"/>
      <c r="T390" s="12"/>
      <c r="U390" s="14"/>
      <c r="V390" s="15"/>
      <c r="W390" s="12"/>
      <c r="X390" s="12"/>
      <c r="Y390" s="12"/>
      <c r="Z390" s="12"/>
      <c r="AA390" s="12"/>
      <c r="AB390" s="14"/>
      <c r="AC390" s="15"/>
      <c r="AD390" s="12"/>
      <c r="AE390" s="12"/>
      <c r="AF390" s="14"/>
      <c r="AG390" s="18"/>
      <c r="AH390" s="18"/>
      <c r="AI390" s="17"/>
      <c r="AJ390" s="181"/>
      <c r="AK390" s="13"/>
      <c r="AL390" s="181"/>
      <c r="AM390" s="175"/>
      <c r="AN390" s="192"/>
      <c r="AO390" s="13"/>
      <c r="AP390" s="181"/>
      <c r="AQ390" s="175"/>
      <c r="AR390" s="18"/>
      <c r="AS390" s="12"/>
      <c r="AT390" s="12"/>
      <c r="AU390" s="12"/>
      <c r="AV390" s="12"/>
      <c r="AW390" s="137"/>
      <c r="AX390" s="13"/>
      <c r="AY390" s="138"/>
      <c r="AZ390" s="140"/>
      <c r="BA390" s="18"/>
      <c r="BB390" s="18" t="e">
        <f>IF(#REF!&lt;&gt;0,IF(LL[[#This Row],[Date of Birth]]&lt;&gt;0,YEAR(#REF!-LL[[#This Row],[Date of Birth]])-1900,""),"")</f>
        <v>#REF!</v>
      </c>
      <c r="BC390" s="2" t="str">
        <f>IF(LL[[#This Row],[Sx Onset Date]]&gt;0,LL[[#This Row],[Sx Onset Date]],"")</f>
        <v/>
      </c>
      <c r="BD390" s="2" t="str">
        <f>IF(LL[[#This Row],[Lab-confirmed?]]="Y",LL[[#This Row],[Test Date]],"")</f>
        <v/>
      </c>
      <c r="BE390" s="2" t="str">
        <f>IF(LL[[#This Row],[Lab-confirmed?]]="Y",LL[[#This Row],[Test Date 2]],"")</f>
        <v/>
      </c>
      <c r="BF390" s="139" t="str">
        <f>IF(LL[[#This Row],[Date Reported to Public Health]]&gt;0,LL[[#This Row],[Date Reported to Public Health]],"")</f>
        <v/>
      </c>
      <c r="BG390" s="13" t="str">
        <f t="shared" si="6"/>
        <v/>
      </c>
    </row>
    <row r="391" spans="1:59" x14ac:dyDescent="0.3">
      <c r="A391" s="11">
        <v>387</v>
      </c>
      <c r="B391" s="12"/>
      <c r="C391" s="13"/>
      <c r="D391" s="12"/>
      <c r="E391" s="12"/>
      <c r="F391" s="12"/>
      <c r="G391" s="16"/>
      <c r="H391" s="12"/>
      <c r="I391" s="14"/>
      <c r="J391" s="137"/>
      <c r="K391" s="137"/>
      <c r="L391" s="18"/>
      <c r="M391" s="139"/>
      <c r="N391" s="140"/>
      <c r="O391" s="137"/>
      <c r="P391" s="137"/>
      <c r="Q391" s="15"/>
      <c r="R391" s="12"/>
      <c r="S391" s="12"/>
      <c r="T391" s="12"/>
      <c r="U391" s="14"/>
      <c r="V391" s="15"/>
      <c r="W391" s="12"/>
      <c r="X391" s="12"/>
      <c r="Y391" s="12"/>
      <c r="Z391" s="12"/>
      <c r="AA391" s="12"/>
      <c r="AB391" s="14"/>
      <c r="AC391" s="15"/>
      <c r="AD391" s="12"/>
      <c r="AE391" s="12"/>
      <c r="AF391" s="14"/>
      <c r="AG391" s="18"/>
      <c r="AH391" s="18"/>
      <c r="AI391" s="17"/>
      <c r="AJ391" s="181"/>
      <c r="AK391" s="13"/>
      <c r="AL391" s="181"/>
      <c r="AM391" s="175"/>
      <c r="AN391" s="192"/>
      <c r="AO391" s="13"/>
      <c r="AP391" s="181"/>
      <c r="AQ391" s="175"/>
      <c r="AR391" s="18"/>
      <c r="AS391" s="12"/>
      <c r="AT391" s="12"/>
      <c r="AU391" s="12"/>
      <c r="AV391" s="12"/>
      <c r="AW391" s="137"/>
      <c r="AX391" s="13"/>
      <c r="AY391" s="138"/>
      <c r="AZ391" s="140"/>
      <c r="BA391" s="18"/>
      <c r="BB391" s="18" t="e">
        <f>IF(#REF!&lt;&gt;0,IF(LL[[#This Row],[Date of Birth]]&lt;&gt;0,YEAR(#REF!-LL[[#This Row],[Date of Birth]])-1900,""),"")</f>
        <v>#REF!</v>
      </c>
      <c r="BC391" s="2" t="str">
        <f>IF(LL[[#This Row],[Sx Onset Date]]&gt;0,LL[[#This Row],[Sx Onset Date]],"")</f>
        <v/>
      </c>
      <c r="BD391" s="2" t="str">
        <f>IF(LL[[#This Row],[Lab-confirmed?]]="Y",LL[[#This Row],[Test Date]],"")</f>
        <v/>
      </c>
      <c r="BE391" s="2" t="str">
        <f>IF(LL[[#This Row],[Lab-confirmed?]]="Y",LL[[#This Row],[Test Date 2]],"")</f>
        <v/>
      </c>
      <c r="BF391" s="139" t="str">
        <f>IF(LL[[#This Row],[Date Reported to Public Health]]&gt;0,LL[[#This Row],[Date Reported to Public Health]],"")</f>
        <v/>
      </c>
      <c r="BG391" s="13" t="str">
        <f t="shared" si="6"/>
        <v/>
      </c>
    </row>
    <row r="392" spans="1:59" x14ac:dyDescent="0.3">
      <c r="A392" s="11">
        <v>388</v>
      </c>
      <c r="B392" s="12"/>
      <c r="C392" s="13"/>
      <c r="D392" s="12"/>
      <c r="E392" s="12"/>
      <c r="F392" s="12"/>
      <c r="G392" s="16"/>
      <c r="H392" s="12"/>
      <c r="I392" s="14"/>
      <c r="J392" s="137"/>
      <c r="K392" s="137"/>
      <c r="L392" s="18"/>
      <c r="M392" s="139"/>
      <c r="N392" s="140"/>
      <c r="O392" s="137"/>
      <c r="P392" s="137"/>
      <c r="Q392" s="15"/>
      <c r="R392" s="12"/>
      <c r="S392" s="12"/>
      <c r="T392" s="12"/>
      <c r="U392" s="14"/>
      <c r="V392" s="15"/>
      <c r="W392" s="12"/>
      <c r="X392" s="12"/>
      <c r="Y392" s="12"/>
      <c r="Z392" s="12"/>
      <c r="AA392" s="12"/>
      <c r="AB392" s="14"/>
      <c r="AC392" s="15"/>
      <c r="AD392" s="12"/>
      <c r="AE392" s="12"/>
      <c r="AF392" s="14"/>
      <c r="AG392" s="18"/>
      <c r="AH392" s="18"/>
      <c r="AI392" s="17"/>
      <c r="AJ392" s="181"/>
      <c r="AK392" s="13"/>
      <c r="AL392" s="181"/>
      <c r="AM392" s="175"/>
      <c r="AN392" s="192"/>
      <c r="AO392" s="13"/>
      <c r="AP392" s="181"/>
      <c r="AQ392" s="175"/>
      <c r="AR392" s="18"/>
      <c r="AS392" s="12"/>
      <c r="AT392" s="12"/>
      <c r="AU392" s="12"/>
      <c r="AV392" s="12"/>
      <c r="AW392" s="137"/>
      <c r="AX392" s="13"/>
      <c r="AY392" s="138"/>
      <c r="AZ392" s="140"/>
      <c r="BA392" s="18"/>
      <c r="BB392" s="18" t="e">
        <f>IF(#REF!&lt;&gt;0,IF(LL[[#This Row],[Date of Birth]]&lt;&gt;0,YEAR(#REF!-LL[[#This Row],[Date of Birth]])-1900,""),"")</f>
        <v>#REF!</v>
      </c>
      <c r="BC392" s="2" t="str">
        <f>IF(LL[[#This Row],[Sx Onset Date]]&gt;0,LL[[#This Row],[Sx Onset Date]],"")</f>
        <v/>
      </c>
      <c r="BD392" s="2" t="str">
        <f>IF(LL[[#This Row],[Lab-confirmed?]]="Y",LL[[#This Row],[Test Date]],"")</f>
        <v/>
      </c>
      <c r="BE392" s="2" t="str">
        <f>IF(LL[[#This Row],[Lab-confirmed?]]="Y",LL[[#This Row],[Test Date 2]],"")</f>
        <v/>
      </c>
      <c r="BF392" s="139" t="str">
        <f>IF(LL[[#This Row],[Date Reported to Public Health]]&gt;0,LL[[#This Row],[Date Reported to Public Health]],"")</f>
        <v/>
      </c>
      <c r="BG392" s="13" t="str">
        <f t="shared" si="6"/>
        <v/>
      </c>
    </row>
    <row r="393" spans="1:59" x14ac:dyDescent="0.3">
      <c r="A393" s="11">
        <v>389</v>
      </c>
      <c r="B393" s="12"/>
      <c r="C393" s="13"/>
      <c r="D393" s="12"/>
      <c r="E393" s="12"/>
      <c r="F393" s="12"/>
      <c r="G393" s="16"/>
      <c r="H393" s="12"/>
      <c r="I393" s="14"/>
      <c r="J393" s="137"/>
      <c r="K393" s="137"/>
      <c r="L393" s="18"/>
      <c r="M393" s="139"/>
      <c r="N393" s="140"/>
      <c r="O393" s="137"/>
      <c r="P393" s="137"/>
      <c r="Q393" s="15"/>
      <c r="R393" s="12"/>
      <c r="S393" s="12"/>
      <c r="T393" s="12"/>
      <c r="U393" s="14"/>
      <c r="V393" s="15"/>
      <c r="W393" s="12"/>
      <c r="X393" s="12"/>
      <c r="Y393" s="12"/>
      <c r="Z393" s="12"/>
      <c r="AA393" s="12"/>
      <c r="AB393" s="14"/>
      <c r="AC393" s="15"/>
      <c r="AD393" s="12"/>
      <c r="AE393" s="12"/>
      <c r="AF393" s="14"/>
      <c r="AG393" s="18"/>
      <c r="AH393" s="18"/>
      <c r="AI393" s="17"/>
      <c r="AJ393" s="181"/>
      <c r="AK393" s="13"/>
      <c r="AL393" s="181"/>
      <c r="AM393" s="175"/>
      <c r="AN393" s="192"/>
      <c r="AO393" s="13"/>
      <c r="AP393" s="181"/>
      <c r="AQ393" s="175"/>
      <c r="AR393" s="18"/>
      <c r="AS393" s="12"/>
      <c r="AT393" s="12"/>
      <c r="AU393" s="12"/>
      <c r="AV393" s="12"/>
      <c r="AW393" s="137"/>
      <c r="AX393" s="13"/>
      <c r="AY393" s="138"/>
      <c r="AZ393" s="140"/>
      <c r="BA393" s="18"/>
      <c r="BB393" s="18" t="e">
        <f>IF(#REF!&lt;&gt;0,IF(LL[[#This Row],[Date of Birth]]&lt;&gt;0,YEAR(#REF!-LL[[#This Row],[Date of Birth]])-1900,""),"")</f>
        <v>#REF!</v>
      </c>
      <c r="BC393" s="2" t="str">
        <f>IF(LL[[#This Row],[Sx Onset Date]]&gt;0,LL[[#This Row],[Sx Onset Date]],"")</f>
        <v/>
      </c>
      <c r="BD393" s="2" t="str">
        <f>IF(LL[[#This Row],[Lab-confirmed?]]="Y",LL[[#This Row],[Test Date]],"")</f>
        <v/>
      </c>
      <c r="BE393" s="2" t="str">
        <f>IF(LL[[#This Row],[Lab-confirmed?]]="Y",LL[[#This Row],[Test Date 2]],"")</f>
        <v/>
      </c>
      <c r="BF393" s="139" t="str">
        <f>IF(LL[[#This Row],[Date Reported to Public Health]]&gt;0,LL[[#This Row],[Date Reported to Public Health]],"")</f>
        <v/>
      </c>
      <c r="BG393" s="13" t="str">
        <f t="shared" si="6"/>
        <v/>
      </c>
    </row>
    <row r="394" spans="1:59" x14ac:dyDescent="0.3">
      <c r="A394" s="11">
        <v>390</v>
      </c>
      <c r="B394" s="12"/>
      <c r="C394" s="13"/>
      <c r="D394" s="12"/>
      <c r="E394" s="12"/>
      <c r="F394" s="12"/>
      <c r="G394" s="16"/>
      <c r="H394" s="12"/>
      <c r="I394" s="14"/>
      <c r="J394" s="137"/>
      <c r="K394" s="137"/>
      <c r="L394" s="18"/>
      <c r="M394" s="139"/>
      <c r="N394" s="140"/>
      <c r="O394" s="137"/>
      <c r="P394" s="137"/>
      <c r="Q394" s="15"/>
      <c r="R394" s="12"/>
      <c r="S394" s="12"/>
      <c r="T394" s="12"/>
      <c r="U394" s="14"/>
      <c r="V394" s="15"/>
      <c r="W394" s="12"/>
      <c r="X394" s="12"/>
      <c r="Y394" s="12"/>
      <c r="Z394" s="12"/>
      <c r="AA394" s="12"/>
      <c r="AB394" s="14"/>
      <c r="AC394" s="15"/>
      <c r="AD394" s="12"/>
      <c r="AE394" s="12"/>
      <c r="AF394" s="14"/>
      <c r="AG394" s="18"/>
      <c r="AH394" s="18"/>
      <c r="AI394" s="17"/>
      <c r="AJ394" s="181"/>
      <c r="AK394" s="13"/>
      <c r="AL394" s="181"/>
      <c r="AM394" s="175"/>
      <c r="AN394" s="192"/>
      <c r="AO394" s="13"/>
      <c r="AP394" s="181"/>
      <c r="AQ394" s="175"/>
      <c r="AR394" s="18"/>
      <c r="AS394" s="12"/>
      <c r="AT394" s="12"/>
      <c r="AU394" s="12"/>
      <c r="AV394" s="12"/>
      <c r="AW394" s="137"/>
      <c r="AX394" s="13"/>
      <c r="AY394" s="138"/>
      <c r="AZ394" s="140"/>
      <c r="BA394" s="18"/>
      <c r="BB394" s="18" t="e">
        <f>IF(#REF!&lt;&gt;0,IF(LL[[#This Row],[Date of Birth]]&lt;&gt;0,YEAR(#REF!-LL[[#This Row],[Date of Birth]])-1900,""),"")</f>
        <v>#REF!</v>
      </c>
      <c r="BC394" s="2" t="str">
        <f>IF(LL[[#This Row],[Sx Onset Date]]&gt;0,LL[[#This Row],[Sx Onset Date]],"")</f>
        <v/>
      </c>
      <c r="BD394" s="2" t="str">
        <f>IF(LL[[#This Row],[Lab-confirmed?]]="Y",LL[[#This Row],[Test Date]],"")</f>
        <v/>
      </c>
      <c r="BE394" s="2" t="str">
        <f>IF(LL[[#This Row],[Lab-confirmed?]]="Y",LL[[#This Row],[Test Date 2]],"")</f>
        <v/>
      </c>
      <c r="BF394" s="139" t="str">
        <f>IF(LL[[#This Row],[Date Reported to Public Health]]&gt;0,LL[[#This Row],[Date Reported to Public Health]],"")</f>
        <v/>
      </c>
      <c r="BG394" s="13" t="str">
        <f t="shared" si="6"/>
        <v/>
      </c>
    </row>
    <row r="395" spans="1:59" x14ac:dyDescent="0.3">
      <c r="A395" s="11">
        <v>391</v>
      </c>
      <c r="B395" s="12"/>
      <c r="C395" s="13"/>
      <c r="D395" s="12"/>
      <c r="E395" s="12"/>
      <c r="F395" s="12"/>
      <c r="G395" s="16"/>
      <c r="H395" s="12"/>
      <c r="I395" s="14"/>
      <c r="J395" s="137"/>
      <c r="K395" s="137"/>
      <c r="L395" s="18"/>
      <c r="M395" s="139"/>
      <c r="N395" s="140"/>
      <c r="O395" s="137"/>
      <c r="P395" s="137"/>
      <c r="Q395" s="15"/>
      <c r="R395" s="12"/>
      <c r="S395" s="12"/>
      <c r="T395" s="12"/>
      <c r="U395" s="14"/>
      <c r="V395" s="15"/>
      <c r="W395" s="12"/>
      <c r="X395" s="12"/>
      <c r="Y395" s="12"/>
      <c r="Z395" s="12"/>
      <c r="AA395" s="12"/>
      <c r="AB395" s="14"/>
      <c r="AC395" s="15"/>
      <c r="AD395" s="12"/>
      <c r="AE395" s="12"/>
      <c r="AF395" s="14"/>
      <c r="AG395" s="18"/>
      <c r="AH395" s="18"/>
      <c r="AI395" s="17"/>
      <c r="AJ395" s="181"/>
      <c r="AK395" s="13"/>
      <c r="AL395" s="181"/>
      <c r="AM395" s="175"/>
      <c r="AN395" s="192"/>
      <c r="AO395" s="13"/>
      <c r="AP395" s="181"/>
      <c r="AQ395" s="175"/>
      <c r="AR395" s="18"/>
      <c r="AS395" s="12"/>
      <c r="AT395" s="12"/>
      <c r="AU395" s="12"/>
      <c r="AV395" s="12"/>
      <c r="AW395" s="137"/>
      <c r="AX395" s="13"/>
      <c r="AY395" s="138"/>
      <c r="AZ395" s="140"/>
      <c r="BA395" s="18"/>
      <c r="BB395" s="18" t="e">
        <f>IF(#REF!&lt;&gt;0,IF(LL[[#This Row],[Date of Birth]]&lt;&gt;0,YEAR(#REF!-LL[[#This Row],[Date of Birth]])-1900,""),"")</f>
        <v>#REF!</v>
      </c>
      <c r="BC395" s="2" t="str">
        <f>IF(LL[[#This Row],[Sx Onset Date]]&gt;0,LL[[#This Row],[Sx Onset Date]],"")</f>
        <v/>
      </c>
      <c r="BD395" s="2" t="str">
        <f>IF(LL[[#This Row],[Lab-confirmed?]]="Y",LL[[#This Row],[Test Date]],"")</f>
        <v/>
      </c>
      <c r="BE395" s="2" t="str">
        <f>IF(LL[[#This Row],[Lab-confirmed?]]="Y",LL[[#This Row],[Test Date 2]],"")</f>
        <v/>
      </c>
      <c r="BF395" s="139" t="str">
        <f>IF(LL[[#This Row],[Date Reported to Public Health]]&gt;0,LL[[#This Row],[Date Reported to Public Health]],"")</f>
        <v/>
      </c>
      <c r="BG395" s="13" t="str">
        <f t="shared" si="6"/>
        <v/>
      </c>
    </row>
    <row r="396" spans="1:59" x14ac:dyDescent="0.3">
      <c r="A396" s="11">
        <v>392</v>
      </c>
      <c r="B396" s="12"/>
      <c r="C396" s="13"/>
      <c r="D396" s="12"/>
      <c r="E396" s="12"/>
      <c r="F396" s="12"/>
      <c r="G396" s="16"/>
      <c r="H396" s="12"/>
      <c r="I396" s="14"/>
      <c r="J396" s="137"/>
      <c r="K396" s="137"/>
      <c r="L396" s="18"/>
      <c r="M396" s="139"/>
      <c r="N396" s="140"/>
      <c r="O396" s="137"/>
      <c r="P396" s="137"/>
      <c r="Q396" s="15"/>
      <c r="R396" s="12"/>
      <c r="S396" s="12"/>
      <c r="T396" s="12"/>
      <c r="U396" s="14"/>
      <c r="V396" s="15"/>
      <c r="W396" s="12"/>
      <c r="X396" s="12"/>
      <c r="Y396" s="12"/>
      <c r="Z396" s="12"/>
      <c r="AA396" s="12"/>
      <c r="AB396" s="14"/>
      <c r="AC396" s="15"/>
      <c r="AD396" s="12"/>
      <c r="AE396" s="12"/>
      <c r="AF396" s="14"/>
      <c r="AG396" s="18"/>
      <c r="AH396" s="18"/>
      <c r="AI396" s="17"/>
      <c r="AJ396" s="181"/>
      <c r="AK396" s="13"/>
      <c r="AL396" s="181"/>
      <c r="AM396" s="175"/>
      <c r="AN396" s="192"/>
      <c r="AO396" s="13"/>
      <c r="AP396" s="181"/>
      <c r="AQ396" s="175"/>
      <c r="AR396" s="18"/>
      <c r="AS396" s="12"/>
      <c r="AT396" s="12"/>
      <c r="AU396" s="12"/>
      <c r="AV396" s="12"/>
      <c r="AW396" s="137"/>
      <c r="AX396" s="13"/>
      <c r="AY396" s="138"/>
      <c r="AZ396" s="140"/>
      <c r="BA396" s="18"/>
      <c r="BB396" s="18" t="e">
        <f>IF(#REF!&lt;&gt;0,IF(LL[[#This Row],[Date of Birth]]&lt;&gt;0,YEAR(#REF!-LL[[#This Row],[Date of Birth]])-1900,""),"")</f>
        <v>#REF!</v>
      </c>
      <c r="BC396" s="2" t="str">
        <f>IF(LL[[#This Row],[Sx Onset Date]]&gt;0,LL[[#This Row],[Sx Onset Date]],"")</f>
        <v/>
      </c>
      <c r="BD396" s="2" t="str">
        <f>IF(LL[[#This Row],[Lab-confirmed?]]="Y",LL[[#This Row],[Test Date]],"")</f>
        <v/>
      </c>
      <c r="BE396" s="2" t="str">
        <f>IF(LL[[#This Row],[Lab-confirmed?]]="Y",LL[[#This Row],[Test Date 2]],"")</f>
        <v/>
      </c>
      <c r="BF396" s="139" t="str">
        <f>IF(LL[[#This Row],[Date Reported to Public Health]]&gt;0,LL[[#This Row],[Date Reported to Public Health]],"")</f>
        <v/>
      </c>
      <c r="BG396" s="13" t="str">
        <f t="shared" si="6"/>
        <v/>
      </c>
    </row>
    <row r="397" spans="1:59" x14ac:dyDescent="0.3">
      <c r="A397" s="11">
        <v>393</v>
      </c>
      <c r="B397" s="12"/>
      <c r="C397" s="13"/>
      <c r="D397" s="12"/>
      <c r="E397" s="12"/>
      <c r="F397" s="12"/>
      <c r="G397" s="16"/>
      <c r="H397" s="12"/>
      <c r="I397" s="14"/>
      <c r="J397" s="137"/>
      <c r="K397" s="137"/>
      <c r="L397" s="18"/>
      <c r="M397" s="139"/>
      <c r="N397" s="140"/>
      <c r="O397" s="137"/>
      <c r="P397" s="137"/>
      <c r="Q397" s="15"/>
      <c r="R397" s="12"/>
      <c r="S397" s="12"/>
      <c r="T397" s="12"/>
      <c r="U397" s="14"/>
      <c r="V397" s="15"/>
      <c r="W397" s="12"/>
      <c r="X397" s="12"/>
      <c r="Y397" s="12"/>
      <c r="Z397" s="12"/>
      <c r="AA397" s="12"/>
      <c r="AB397" s="14"/>
      <c r="AC397" s="15"/>
      <c r="AD397" s="12"/>
      <c r="AE397" s="12"/>
      <c r="AF397" s="14"/>
      <c r="AG397" s="18"/>
      <c r="AH397" s="18"/>
      <c r="AI397" s="17"/>
      <c r="AJ397" s="181"/>
      <c r="AK397" s="13"/>
      <c r="AL397" s="181"/>
      <c r="AM397" s="175"/>
      <c r="AN397" s="192"/>
      <c r="AO397" s="13"/>
      <c r="AP397" s="181"/>
      <c r="AQ397" s="175"/>
      <c r="AR397" s="18"/>
      <c r="AS397" s="12"/>
      <c r="AT397" s="12"/>
      <c r="AU397" s="12"/>
      <c r="AV397" s="12"/>
      <c r="AW397" s="137"/>
      <c r="AX397" s="13"/>
      <c r="AY397" s="138"/>
      <c r="AZ397" s="140"/>
      <c r="BA397" s="18"/>
      <c r="BB397" s="18" t="e">
        <f>IF(#REF!&lt;&gt;0,IF(LL[[#This Row],[Date of Birth]]&lt;&gt;0,YEAR(#REF!-LL[[#This Row],[Date of Birth]])-1900,""),"")</f>
        <v>#REF!</v>
      </c>
      <c r="BC397" s="2" t="str">
        <f>IF(LL[[#This Row],[Sx Onset Date]]&gt;0,LL[[#This Row],[Sx Onset Date]],"")</f>
        <v/>
      </c>
      <c r="BD397" s="2" t="str">
        <f>IF(LL[[#This Row],[Lab-confirmed?]]="Y",LL[[#This Row],[Test Date]],"")</f>
        <v/>
      </c>
      <c r="BE397" s="2" t="str">
        <f>IF(LL[[#This Row],[Lab-confirmed?]]="Y",LL[[#This Row],[Test Date 2]],"")</f>
        <v/>
      </c>
      <c r="BF397" s="139" t="str">
        <f>IF(LL[[#This Row],[Date Reported to Public Health]]&gt;0,LL[[#This Row],[Date Reported to Public Health]],"")</f>
        <v/>
      </c>
      <c r="BG397" s="13" t="str">
        <f t="shared" si="6"/>
        <v/>
      </c>
    </row>
    <row r="398" spans="1:59" x14ac:dyDescent="0.3">
      <c r="A398" s="11">
        <v>394</v>
      </c>
      <c r="B398" s="12"/>
      <c r="C398" s="13"/>
      <c r="D398" s="12"/>
      <c r="E398" s="12"/>
      <c r="F398" s="12"/>
      <c r="G398" s="16"/>
      <c r="H398" s="12"/>
      <c r="I398" s="14"/>
      <c r="J398" s="137"/>
      <c r="K398" s="137"/>
      <c r="L398" s="18"/>
      <c r="M398" s="139"/>
      <c r="N398" s="140"/>
      <c r="O398" s="137"/>
      <c r="P398" s="137"/>
      <c r="Q398" s="15"/>
      <c r="R398" s="12"/>
      <c r="S398" s="12"/>
      <c r="T398" s="12"/>
      <c r="U398" s="14"/>
      <c r="V398" s="15"/>
      <c r="W398" s="12"/>
      <c r="X398" s="12"/>
      <c r="Y398" s="12"/>
      <c r="Z398" s="12"/>
      <c r="AA398" s="12"/>
      <c r="AB398" s="14"/>
      <c r="AC398" s="15"/>
      <c r="AD398" s="12"/>
      <c r="AE398" s="12"/>
      <c r="AF398" s="14"/>
      <c r="AG398" s="18"/>
      <c r="AH398" s="18"/>
      <c r="AI398" s="17"/>
      <c r="AJ398" s="181"/>
      <c r="AK398" s="13"/>
      <c r="AL398" s="181"/>
      <c r="AM398" s="175"/>
      <c r="AN398" s="192"/>
      <c r="AO398" s="13"/>
      <c r="AP398" s="181"/>
      <c r="AQ398" s="175"/>
      <c r="AR398" s="18"/>
      <c r="AS398" s="12"/>
      <c r="AT398" s="12"/>
      <c r="AU398" s="12"/>
      <c r="AV398" s="12"/>
      <c r="AW398" s="137"/>
      <c r="AX398" s="13"/>
      <c r="AY398" s="138"/>
      <c r="AZ398" s="140"/>
      <c r="BA398" s="18"/>
      <c r="BB398" s="18" t="e">
        <f>IF(#REF!&lt;&gt;0,IF(LL[[#This Row],[Date of Birth]]&lt;&gt;0,YEAR(#REF!-LL[[#This Row],[Date of Birth]])-1900,""),"")</f>
        <v>#REF!</v>
      </c>
      <c r="BC398" s="2" t="str">
        <f>IF(LL[[#This Row],[Sx Onset Date]]&gt;0,LL[[#This Row],[Sx Onset Date]],"")</f>
        <v/>
      </c>
      <c r="BD398" s="2" t="str">
        <f>IF(LL[[#This Row],[Lab-confirmed?]]="Y",LL[[#This Row],[Test Date]],"")</f>
        <v/>
      </c>
      <c r="BE398" s="2" t="str">
        <f>IF(LL[[#This Row],[Lab-confirmed?]]="Y",LL[[#This Row],[Test Date 2]],"")</f>
        <v/>
      </c>
      <c r="BF398" s="139" t="str">
        <f>IF(LL[[#This Row],[Date Reported to Public Health]]&gt;0,LL[[#This Row],[Date Reported to Public Health]],"")</f>
        <v/>
      </c>
      <c r="BG398" s="13" t="str">
        <f t="shared" si="6"/>
        <v/>
      </c>
    </row>
    <row r="399" spans="1:59" x14ac:dyDescent="0.3">
      <c r="A399" s="11">
        <v>395</v>
      </c>
      <c r="B399" s="12"/>
      <c r="C399" s="13"/>
      <c r="D399" s="12"/>
      <c r="E399" s="12"/>
      <c r="F399" s="12"/>
      <c r="G399" s="16"/>
      <c r="H399" s="12"/>
      <c r="I399" s="14"/>
      <c r="J399" s="137"/>
      <c r="K399" s="137"/>
      <c r="L399" s="18"/>
      <c r="M399" s="139"/>
      <c r="N399" s="140"/>
      <c r="O399" s="137"/>
      <c r="P399" s="137"/>
      <c r="Q399" s="15"/>
      <c r="R399" s="12"/>
      <c r="S399" s="12"/>
      <c r="T399" s="12"/>
      <c r="U399" s="14"/>
      <c r="V399" s="15"/>
      <c r="W399" s="12"/>
      <c r="X399" s="12"/>
      <c r="Y399" s="12"/>
      <c r="Z399" s="12"/>
      <c r="AA399" s="12"/>
      <c r="AB399" s="14"/>
      <c r="AC399" s="15"/>
      <c r="AD399" s="12"/>
      <c r="AE399" s="12"/>
      <c r="AF399" s="14"/>
      <c r="AG399" s="18"/>
      <c r="AH399" s="18"/>
      <c r="AI399" s="17"/>
      <c r="AJ399" s="181"/>
      <c r="AK399" s="13"/>
      <c r="AL399" s="181"/>
      <c r="AM399" s="175"/>
      <c r="AN399" s="192"/>
      <c r="AO399" s="13"/>
      <c r="AP399" s="181"/>
      <c r="AQ399" s="175"/>
      <c r="AR399" s="18"/>
      <c r="AS399" s="12"/>
      <c r="AT399" s="12"/>
      <c r="AU399" s="12"/>
      <c r="AV399" s="12"/>
      <c r="AW399" s="137"/>
      <c r="AX399" s="13"/>
      <c r="AY399" s="138"/>
      <c r="AZ399" s="140"/>
      <c r="BA399" s="18"/>
      <c r="BB399" s="18" t="e">
        <f>IF(#REF!&lt;&gt;0,IF(LL[[#This Row],[Date of Birth]]&lt;&gt;0,YEAR(#REF!-LL[[#This Row],[Date of Birth]])-1900,""),"")</f>
        <v>#REF!</v>
      </c>
      <c r="BC399" s="2" t="str">
        <f>IF(LL[[#This Row],[Sx Onset Date]]&gt;0,LL[[#This Row],[Sx Onset Date]],"")</f>
        <v/>
      </c>
      <c r="BD399" s="2" t="str">
        <f>IF(LL[[#This Row],[Lab-confirmed?]]="Y",LL[[#This Row],[Test Date]],"")</f>
        <v/>
      </c>
      <c r="BE399" s="2" t="str">
        <f>IF(LL[[#This Row],[Lab-confirmed?]]="Y",LL[[#This Row],[Test Date 2]],"")</f>
        <v/>
      </c>
      <c r="BF399" s="139" t="str">
        <f>IF(LL[[#This Row],[Date Reported to Public Health]]&gt;0,LL[[#This Row],[Date Reported to Public Health]],"")</f>
        <v/>
      </c>
      <c r="BG399" s="13" t="str">
        <f t="shared" si="6"/>
        <v/>
      </c>
    </row>
    <row r="400" spans="1:59" x14ac:dyDescent="0.3">
      <c r="A400" s="11">
        <v>396</v>
      </c>
      <c r="B400" s="12"/>
      <c r="C400" s="13"/>
      <c r="D400" s="12"/>
      <c r="E400" s="12"/>
      <c r="F400" s="12"/>
      <c r="G400" s="16"/>
      <c r="H400" s="12"/>
      <c r="I400" s="14"/>
      <c r="J400" s="137"/>
      <c r="K400" s="137"/>
      <c r="L400" s="18"/>
      <c r="M400" s="139"/>
      <c r="N400" s="140"/>
      <c r="O400" s="137"/>
      <c r="P400" s="137"/>
      <c r="Q400" s="15"/>
      <c r="R400" s="12"/>
      <c r="S400" s="12"/>
      <c r="T400" s="12"/>
      <c r="U400" s="14"/>
      <c r="V400" s="15"/>
      <c r="W400" s="12"/>
      <c r="X400" s="12"/>
      <c r="Y400" s="12"/>
      <c r="Z400" s="12"/>
      <c r="AA400" s="12"/>
      <c r="AB400" s="14"/>
      <c r="AC400" s="15"/>
      <c r="AD400" s="12"/>
      <c r="AE400" s="12"/>
      <c r="AF400" s="14"/>
      <c r="AG400" s="18"/>
      <c r="AH400" s="18"/>
      <c r="AI400" s="17"/>
      <c r="AJ400" s="181"/>
      <c r="AK400" s="13"/>
      <c r="AL400" s="181"/>
      <c r="AM400" s="175"/>
      <c r="AN400" s="192"/>
      <c r="AO400" s="13"/>
      <c r="AP400" s="181"/>
      <c r="AQ400" s="175"/>
      <c r="AR400" s="18"/>
      <c r="AS400" s="12"/>
      <c r="AT400" s="12"/>
      <c r="AU400" s="12"/>
      <c r="AV400" s="12"/>
      <c r="AW400" s="137"/>
      <c r="AX400" s="13"/>
      <c r="AY400" s="138"/>
      <c r="AZ400" s="140"/>
      <c r="BA400" s="18"/>
      <c r="BB400" s="18" t="e">
        <f>IF(#REF!&lt;&gt;0,IF(LL[[#This Row],[Date of Birth]]&lt;&gt;0,YEAR(#REF!-LL[[#This Row],[Date of Birth]])-1900,""),"")</f>
        <v>#REF!</v>
      </c>
      <c r="BC400" s="2" t="str">
        <f>IF(LL[[#This Row],[Sx Onset Date]]&gt;0,LL[[#This Row],[Sx Onset Date]],"")</f>
        <v/>
      </c>
      <c r="BD400" s="2" t="str">
        <f>IF(LL[[#This Row],[Lab-confirmed?]]="Y",LL[[#This Row],[Test Date]],"")</f>
        <v/>
      </c>
      <c r="BE400" s="2" t="str">
        <f>IF(LL[[#This Row],[Lab-confirmed?]]="Y",LL[[#This Row],[Test Date 2]],"")</f>
        <v/>
      </c>
      <c r="BF400" s="139" t="str">
        <f>IF(LL[[#This Row],[Date Reported to Public Health]]&gt;0,LL[[#This Row],[Date Reported to Public Health]],"")</f>
        <v/>
      </c>
      <c r="BG400" s="13" t="str">
        <f t="shared" si="6"/>
        <v/>
      </c>
    </row>
    <row r="401" spans="1:59" x14ac:dyDescent="0.3">
      <c r="A401" s="11">
        <v>397</v>
      </c>
      <c r="B401" s="12"/>
      <c r="C401" s="13"/>
      <c r="D401" s="12"/>
      <c r="E401" s="12"/>
      <c r="F401" s="12"/>
      <c r="G401" s="16"/>
      <c r="H401" s="12"/>
      <c r="I401" s="14"/>
      <c r="J401" s="137"/>
      <c r="K401" s="137"/>
      <c r="L401" s="18"/>
      <c r="M401" s="139"/>
      <c r="N401" s="140"/>
      <c r="O401" s="137"/>
      <c r="P401" s="137"/>
      <c r="Q401" s="15"/>
      <c r="R401" s="12"/>
      <c r="S401" s="12"/>
      <c r="T401" s="12"/>
      <c r="U401" s="14"/>
      <c r="V401" s="15"/>
      <c r="W401" s="12"/>
      <c r="X401" s="12"/>
      <c r="Y401" s="12"/>
      <c r="Z401" s="12"/>
      <c r="AA401" s="12"/>
      <c r="AB401" s="14"/>
      <c r="AC401" s="15"/>
      <c r="AD401" s="12"/>
      <c r="AE401" s="12"/>
      <c r="AF401" s="14"/>
      <c r="AG401" s="18"/>
      <c r="AH401" s="18"/>
      <c r="AI401" s="17"/>
      <c r="AJ401" s="181"/>
      <c r="AK401" s="13"/>
      <c r="AL401" s="181"/>
      <c r="AM401" s="175"/>
      <c r="AN401" s="192"/>
      <c r="AO401" s="13"/>
      <c r="AP401" s="181"/>
      <c r="AQ401" s="175"/>
      <c r="AR401" s="18"/>
      <c r="AS401" s="12"/>
      <c r="AT401" s="12"/>
      <c r="AU401" s="12"/>
      <c r="AV401" s="12"/>
      <c r="AW401" s="137"/>
      <c r="AX401" s="13"/>
      <c r="AY401" s="138"/>
      <c r="AZ401" s="140"/>
      <c r="BA401" s="18"/>
      <c r="BB401" s="18" t="e">
        <f>IF(#REF!&lt;&gt;0,IF(LL[[#This Row],[Date of Birth]]&lt;&gt;0,YEAR(#REF!-LL[[#This Row],[Date of Birth]])-1900,""),"")</f>
        <v>#REF!</v>
      </c>
      <c r="BC401" s="2" t="str">
        <f>IF(LL[[#This Row],[Sx Onset Date]]&gt;0,LL[[#This Row],[Sx Onset Date]],"")</f>
        <v/>
      </c>
      <c r="BD401" s="2" t="str">
        <f>IF(LL[[#This Row],[Lab-confirmed?]]="Y",LL[[#This Row],[Test Date]],"")</f>
        <v/>
      </c>
      <c r="BE401" s="2" t="str">
        <f>IF(LL[[#This Row],[Lab-confirmed?]]="Y",LL[[#This Row],[Test Date 2]],"")</f>
        <v/>
      </c>
      <c r="BF401" s="139" t="str">
        <f>IF(LL[[#This Row],[Date Reported to Public Health]]&gt;0,LL[[#This Row],[Date Reported to Public Health]],"")</f>
        <v/>
      </c>
      <c r="BG401" s="13" t="str">
        <f t="shared" si="6"/>
        <v/>
      </c>
    </row>
    <row r="402" spans="1:59" x14ac:dyDescent="0.3">
      <c r="A402" s="11">
        <v>398</v>
      </c>
      <c r="B402" s="12"/>
      <c r="C402" s="13"/>
      <c r="D402" s="12"/>
      <c r="E402" s="12"/>
      <c r="F402" s="12"/>
      <c r="G402" s="16"/>
      <c r="H402" s="12"/>
      <c r="I402" s="14"/>
      <c r="J402" s="137"/>
      <c r="K402" s="137"/>
      <c r="L402" s="18"/>
      <c r="M402" s="139"/>
      <c r="N402" s="140"/>
      <c r="O402" s="137"/>
      <c r="P402" s="137"/>
      <c r="Q402" s="15"/>
      <c r="R402" s="12"/>
      <c r="S402" s="12"/>
      <c r="T402" s="12"/>
      <c r="U402" s="14"/>
      <c r="V402" s="15"/>
      <c r="W402" s="12"/>
      <c r="X402" s="12"/>
      <c r="Y402" s="12"/>
      <c r="Z402" s="12"/>
      <c r="AA402" s="12"/>
      <c r="AB402" s="14"/>
      <c r="AC402" s="15"/>
      <c r="AD402" s="12"/>
      <c r="AE402" s="12"/>
      <c r="AF402" s="14"/>
      <c r="AG402" s="18"/>
      <c r="AH402" s="18"/>
      <c r="AI402" s="17"/>
      <c r="AJ402" s="181"/>
      <c r="AK402" s="13"/>
      <c r="AL402" s="181"/>
      <c r="AM402" s="175"/>
      <c r="AN402" s="192"/>
      <c r="AO402" s="13"/>
      <c r="AP402" s="181"/>
      <c r="AQ402" s="175"/>
      <c r="AR402" s="18"/>
      <c r="AS402" s="12"/>
      <c r="AT402" s="12"/>
      <c r="AU402" s="12"/>
      <c r="AV402" s="12"/>
      <c r="AW402" s="137"/>
      <c r="AX402" s="13"/>
      <c r="AY402" s="138"/>
      <c r="AZ402" s="140"/>
      <c r="BA402" s="18"/>
      <c r="BB402" s="18" t="e">
        <f>IF(#REF!&lt;&gt;0,IF(LL[[#This Row],[Date of Birth]]&lt;&gt;0,YEAR(#REF!-LL[[#This Row],[Date of Birth]])-1900,""),"")</f>
        <v>#REF!</v>
      </c>
      <c r="BC402" s="2" t="str">
        <f>IF(LL[[#This Row],[Sx Onset Date]]&gt;0,LL[[#This Row],[Sx Onset Date]],"")</f>
        <v/>
      </c>
      <c r="BD402" s="2" t="str">
        <f>IF(LL[[#This Row],[Lab-confirmed?]]="Y",LL[[#This Row],[Test Date]],"")</f>
        <v/>
      </c>
      <c r="BE402" s="2" t="str">
        <f>IF(LL[[#This Row],[Lab-confirmed?]]="Y",LL[[#This Row],[Test Date 2]],"")</f>
        <v/>
      </c>
      <c r="BF402" s="139" t="str">
        <f>IF(LL[[#This Row],[Date Reported to Public Health]]&gt;0,LL[[#This Row],[Date Reported to Public Health]],"")</f>
        <v/>
      </c>
      <c r="BG402" s="13" t="str">
        <f t="shared" si="6"/>
        <v/>
      </c>
    </row>
    <row r="403" spans="1:59" x14ac:dyDescent="0.3">
      <c r="A403" s="11">
        <v>399</v>
      </c>
      <c r="B403" s="12"/>
      <c r="C403" s="13"/>
      <c r="D403" s="12"/>
      <c r="E403" s="12"/>
      <c r="F403" s="12"/>
      <c r="G403" s="16"/>
      <c r="H403" s="12"/>
      <c r="I403" s="14"/>
      <c r="J403" s="137"/>
      <c r="K403" s="137"/>
      <c r="L403" s="18"/>
      <c r="M403" s="139"/>
      <c r="N403" s="140"/>
      <c r="O403" s="137"/>
      <c r="P403" s="137"/>
      <c r="Q403" s="15"/>
      <c r="R403" s="12"/>
      <c r="S403" s="12"/>
      <c r="T403" s="12"/>
      <c r="U403" s="14"/>
      <c r="V403" s="15"/>
      <c r="W403" s="12"/>
      <c r="X403" s="12"/>
      <c r="Y403" s="12"/>
      <c r="Z403" s="12"/>
      <c r="AA403" s="12"/>
      <c r="AB403" s="14"/>
      <c r="AC403" s="15"/>
      <c r="AD403" s="12"/>
      <c r="AE403" s="12"/>
      <c r="AF403" s="14"/>
      <c r="AG403" s="18"/>
      <c r="AH403" s="18"/>
      <c r="AI403" s="17"/>
      <c r="AJ403" s="181"/>
      <c r="AK403" s="13"/>
      <c r="AL403" s="181"/>
      <c r="AM403" s="175"/>
      <c r="AN403" s="192"/>
      <c r="AO403" s="13"/>
      <c r="AP403" s="181"/>
      <c r="AQ403" s="175"/>
      <c r="AR403" s="18"/>
      <c r="AS403" s="12"/>
      <c r="AT403" s="12"/>
      <c r="AU403" s="12"/>
      <c r="AV403" s="12"/>
      <c r="AW403" s="137"/>
      <c r="AX403" s="13"/>
      <c r="AY403" s="138"/>
      <c r="AZ403" s="140"/>
      <c r="BA403" s="18"/>
      <c r="BB403" s="18" t="e">
        <f>IF(#REF!&lt;&gt;0,IF(LL[[#This Row],[Date of Birth]]&lt;&gt;0,YEAR(#REF!-LL[[#This Row],[Date of Birth]])-1900,""),"")</f>
        <v>#REF!</v>
      </c>
      <c r="BC403" s="2" t="str">
        <f>IF(LL[[#This Row],[Sx Onset Date]]&gt;0,LL[[#This Row],[Sx Onset Date]],"")</f>
        <v/>
      </c>
      <c r="BD403" s="2" t="str">
        <f>IF(LL[[#This Row],[Lab-confirmed?]]="Y",LL[[#This Row],[Test Date]],"")</f>
        <v/>
      </c>
      <c r="BE403" s="2" t="str">
        <f>IF(LL[[#This Row],[Lab-confirmed?]]="Y",LL[[#This Row],[Test Date 2]],"")</f>
        <v/>
      </c>
      <c r="BF403" s="139" t="str">
        <f>IF(LL[[#This Row],[Date Reported to Public Health]]&gt;0,LL[[#This Row],[Date Reported to Public Health]],"")</f>
        <v/>
      </c>
      <c r="BG403" s="13" t="str">
        <f t="shared" si="6"/>
        <v/>
      </c>
    </row>
    <row r="404" spans="1:59" x14ac:dyDescent="0.3">
      <c r="A404" s="11">
        <v>400</v>
      </c>
      <c r="B404" s="12"/>
      <c r="C404" s="13"/>
      <c r="D404" s="12"/>
      <c r="E404" s="12"/>
      <c r="F404" s="12"/>
      <c r="G404" s="16"/>
      <c r="H404" s="12"/>
      <c r="I404" s="14"/>
      <c r="J404" s="137"/>
      <c r="K404" s="137"/>
      <c r="L404" s="18"/>
      <c r="M404" s="139"/>
      <c r="N404" s="140"/>
      <c r="O404" s="137"/>
      <c r="P404" s="137"/>
      <c r="Q404" s="15"/>
      <c r="R404" s="12"/>
      <c r="S404" s="12"/>
      <c r="T404" s="12"/>
      <c r="U404" s="14"/>
      <c r="V404" s="15"/>
      <c r="W404" s="12"/>
      <c r="X404" s="12"/>
      <c r="Y404" s="12"/>
      <c r="Z404" s="12"/>
      <c r="AA404" s="12"/>
      <c r="AB404" s="14"/>
      <c r="AC404" s="15"/>
      <c r="AD404" s="12"/>
      <c r="AE404" s="12"/>
      <c r="AF404" s="14"/>
      <c r="AG404" s="18"/>
      <c r="AH404" s="18"/>
      <c r="AI404" s="17"/>
      <c r="AJ404" s="181"/>
      <c r="AK404" s="13"/>
      <c r="AL404" s="181"/>
      <c r="AM404" s="175"/>
      <c r="AN404" s="192"/>
      <c r="AO404" s="13"/>
      <c r="AP404" s="181"/>
      <c r="AQ404" s="175"/>
      <c r="AR404" s="18"/>
      <c r="AS404" s="12"/>
      <c r="AT404" s="12"/>
      <c r="AU404" s="12"/>
      <c r="AV404" s="12"/>
      <c r="AW404" s="137"/>
      <c r="AX404" s="13"/>
      <c r="AY404" s="138"/>
      <c r="AZ404" s="140"/>
      <c r="BA404" s="18"/>
      <c r="BB404" s="18" t="e">
        <f>IF(#REF!&lt;&gt;0,IF(LL[[#This Row],[Date of Birth]]&lt;&gt;0,YEAR(#REF!-LL[[#This Row],[Date of Birth]])-1900,""),"")</f>
        <v>#REF!</v>
      </c>
      <c r="BC404" s="2" t="str">
        <f>IF(LL[[#This Row],[Sx Onset Date]]&gt;0,LL[[#This Row],[Sx Onset Date]],"")</f>
        <v/>
      </c>
      <c r="BD404" s="2" t="str">
        <f>IF(LL[[#This Row],[Lab-confirmed?]]="Y",LL[[#This Row],[Test Date]],"")</f>
        <v/>
      </c>
      <c r="BE404" s="2" t="str">
        <f>IF(LL[[#This Row],[Lab-confirmed?]]="Y",LL[[#This Row],[Test Date 2]],"")</f>
        <v/>
      </c>
      <c r="BF404" s="139" t="str">
        <f>IF(LL[[#This Row],[Date Reported to Public Health]]&gt;0,LL[[#This Row],[Date Reported to Public Health]],"")</f>
        <v/>
      </c>
      <c r="BG404" s="13" t="str">
        <f t="shared" si="6"/>
        <v/>
      </c>
    </row>
  </sheetData>
  <sheetProtection sheet="1" autoFilter="0"/>
  <phoneticPr fontId="4" type="noConversion"/>
  <conditionalFormatting sqref="E5:E404">
    <cfRule type="expression" dxfId="36" priority="91">
      <formula>AND($AI5="Y",$E5&lt;&gt;"Case")</formula>
    </cfRule>
    <cfRule type="expression" dxfId="35" priority="92">
      <formula>AND($E5&lt;&gt;"Case",$AI5="Y")</formula>
    </cfRule>
  </conditionalFormatting>
  <conditionalFormatting sqref="F5:F404">
    <cfRule type="expression" dxfId="34" priority="199">
      <formula>AND($AI5="Y",$E5&lt;&gt;"Case")</formula>
    </cfRule>
    <cfRule type="expression" dxfId="33" priority="200">
      <formula>AND($E5&lt;&gt;"Case",$AI5="Y")</formula>
    </cfRule>
  </conditionalFormatting>
  <conditionalFormatting sqref="L5:L404">
    <cfRule type="expression" dxfId="31" priority="203">
      <formula>AND($L5="Y",OR(ISBLANK($Q5)=FALSE,ISBLANK($R5)=FALSE,ISBLANK($S5)=FALSE,ISBLANK($T5)=FALSE,ISBLANK($U5)=FALSE,ISBLANK($V5)=FALSE,ISBLANK($W5)=FALSE,ISBLANK($X5)=FALSE,ISBLANK($Y5)=FALSE,ISBLANK($Z5)=FALSE,ISBLANK($AA5)=FALSE,ISBLANK($AB5)=FALSE,ISBLANK($AC5)=FALSE,ISBLANK($AD5)=FALSE,ISBLANK($AE5)=FALSE,ISBLANK($AF5)=FALSE,ISBLANK($AG5)=FALSE,ISBLANK($N5)=FALSE,ISBLANK(#REF!)=FALSE,ISBLANK($AH5)=FALSE,ISBLANK($AR5)=FALSE,ISBLANK($AW5)=FALSE,ISBLANK($AX5)=FALSE,ISBLANK($AY5)=FALSE,ISBLANK($AZ5)=FALSE))</formula>
    </cfRule>
    <cfRule type="expression" dxfId="30" priority="204">
      <formula>$L5="Y"</formula>
    </cfRule>
  </conditionalFormatting>
  <conditionalFormatting sqref="L5:M404 Q5:AG404">
    <cfRule type="expression" dxfId="29" priority="230">
      <formula>AND(COUNTA($B5:$BA5)&gt;0,COUNTA($L$5:$AG$5)=0)</formula>
    </cfRule>
  </conditionalFormatting>
  <conditionalFormatting sqref="M5:M404">
    <cfRule type="expression" dxfId="28" priority="232">
      <formula>AND(COUNTA($Q5:$AG5)&gt;0,COUNTA($B5:$BA5)&gt;0,ISBLANK($M5))</formula>
    </cfRule>
  </conditionalFormatting>
  <conditionalFormatting sqref="M5:AZ404">
    <cfRule type="expression" dxfId="27" priority="19">
      <formula>$L5="Y"</formula>
    </cfRule>
  </conditionalFormatting>
  <conditionalFormatting sqref="Q5:AF404">
    <cfRule type="expression" dxfId="26" priority="20">
      <formula>ISBLANK(Q5)=FALSE</formula>
    </cfRule>
  </conditionalFormatting>
  <conditionalFormatting sqref="AH5:AI404 AS5:AU404">
    <cfRule type="expression" dxfId="25" priority="188">
      <formula>AH5="Y"</formula>
    </cfRule>
  </conditionalFormatting>
  <conditionalFormatting sqref="AV5:AV404 B5:D5 F5 G5:G404 J5:J404 BG5:BG404 B6:E404">
    <cfRule type="expression" dxfId="24" priority="233">
      <formula>AND(COUNTA($B5:$BA5)&gt;0,ISBLANK($B5))</formula>
    </cfRule>
  </conditionalFormatting>
  <conditionalFormatting sqref="AW5:AW404">
    <cfRule type="expression" dxfId="23" priority="24">
      <formula>AND(ISBLANK($AX5)=FALSE,ISBLANK($AW5))</formula>
    </cfRule>
  </conditionalFormatting>
  <conditionalFormatting sqref="AY5:AY404">
    <cfRule type="expression" dxfId="22" priority="23">
      <formula>ISBLANK($AW5)=FALSE</formula>
    </cfRule>
  </conditionalFormatting>
  <conditionalFormatting sqref="BG5:BG404">
    <cfRule type="expression" dxfId="21" priority="240">
      <formula>AND($F5="Case",ISBLANK($BG5))</formula>
    </cfRule>
    <cfRule type="expression" dxfId="20" priority="241">
      <formula>AND($E4="Case",ISBLANK($BG4))</formula>
    </cfRule>
  </conditionalFormatting>
  <dataValidations xWindow="1382" yWindow="728" count="32">
    <dataValidation type="date" allowBlank="1" showInputMessage="1" showErrorMessage="1" error="Must be a date between 1920/01/01 and today." prompt="yyyy/m/d" sqref="C5:C404" xr:uid="{B8F3A555-C209-4694-A232-D90BD465BEFA}">
      <formula1>7306</formula1>
      <formula2>TODAY()</formula2>
    </dataValidation>
    <dataValidation type="list" allowBlank="1" showInputMessage="1" showErrorMessage="1" prompt="Choose One" sqref="D5:D404" xr:uid="{061EB470-E2E8-4FE7-823E-97C166CA7D20}">
      <formula1>INDIRECT("Sex[Sex]")</formula1>
    </dataValidation>
    <dataValidation type="list" allowBlank="1" showDropDown="1" showInputMessage="1" showErrorMessage="1" error="Upper case Y/N/U only." prompt="Y (Yes)_x000a_N (No)_x000a_U (Unknown)_x000a_(Press delete to remove value)" sqref="AS5:AU404" xr:uid="{DCC34A5B-FEEC-4608-8379-22EEAF4F6FC7}">
      <formula1>"Y,N,U"</formula1>
    </dataValidation>
    <dataValidation type="date" allowBlank="1" showInputMessage="1" showErrorMessage="1" error="Must be a date between 2021/01/01 and today." prompt="yyyy/m/d" sqref="AW5:AZ404 AO5:AO404 AK5:AK404 M5:O404 J5:J404 K5:K404" xr:uid="{5B772527-161A-4965-A021-121CCB2C2023}">
      <formula1>44197</formula1>
      <formula2>TODAY()</formula2>
    </dataValidation>
    <dataValidation type="list" allowBlank="1" showDropDown="1" showInputMessage="1" showErrorMessage="1" error="Upper case Y or blank only." prompt="Y (Yes) or blank_x000a_(Press delete to remove value)" sqref="L5:L404 S5:AB404 AD5:AF404 AK5:AK404 AH5:AI404 AO5:AO404" xr:uid="{7CB4A71B-A2DD-467B-B50A-EA117D939760}">
      <formula1>"Y"</formula1>
    </dataValidation>
    <dataValidation type="list" allowBlank="1" showInputMessage="1" showErrorMessage="1" error="No values besides input list are accepted." prompt="Choose One" sqref="G5:G404" xr:uid="{C1722526-B726-4A9B-9991-DF3DF4271BF9}">
      <formula1>INDIRECT("Role[Role]")</formula1>
    </dataValidation>
    <dataValidation allowBlank="1" showInputMessage="1" showErrorMessage="1" prompt="Enter list line list numbers of potential transmitters to this case, or briefly describe if transmitter is not line listed." sqref="F5:F404" xr:uid="{79ABFEC2-2212-431A-82C0-18B5D759C392}"/>
    <dataValidation type="list" allowBlank="1" showInputMessage="1" showErrorMessage="1" error="No values besides input list are accepted. " prompt="Choose One_x000a_(List is populated by adding values to the bottom table on the Basic Information tab.)" sqref="H5:H404" xr:uid="{9D442404-CA74-4507-B0AD-9CE53E3855C9}">
      <formula1>Area</formula1>
    </dataValidation>
    <dataValidation allowBlank="1" showInputMessage="1" showErrorMessage="1" prompt="Enter room #, if applicable" sqref="I5:I404" xr:uid="{7755FBCD-EDAE-4370-BFF9-B76BBF83F298}"/>
    <dataValidation type="list" allowBlank="1" showDropDown="1" showInputMessage="1" showErrorMessage="1" error="Upper case S, H, SH or blank only." prompt="S (Sore Throat)_x000a_H (Hoarseness)_x000a_SH (both)_x000a_or blank_x000a_(Press delete to remove value)" sqref="Q5:Q404" xr:uid="{CE3CA5DB-5BB6-42BE-9618-CD21CC3AB397}">
      <formula1>"S,H,SH"</formula1>
    </dataValidation>
    <dataValidation type="list" allowBlank="1" showDropDown="1" showInputMessage="1" showErrorMessage="1" error="Upper case D, P, W, DW, PW or blank only." prompt="D (Dry)_x000a_P (Productive)_x000a_W (Worsening)_x000a_DW (Dry and Worsening)_x000a_PW (Productive and Worsening)_x000a_or blank_x000a_(Press delete to remove value)" sqref="R5:R404" xr:uid="{9C97267A-EC8E-44B4-89AC-208A3EB7DC3E}">
      <formula1>"D,P,W,DW,PW"</formula1>
    </dataValidation>
    <dataValidation type="list" allowBlank="1" showDropDown="1" showInputMessage="1" showErrorMessage="1" error="Upper case W, B, G, WB, WG, BG, WBG or blank only." prompt="W (Watery)_x000a_B (Bloody)_x000a_G (Greasy)_x000a_WB (Watery and Bloody)_x000a_WG (Watery and Greasy)_x000a_BG (Greasy and Bloody)_x000a_WBG (all three)_x000a_or blank_x000a_(Press delete to remove value)" sqref="AC5:AC404" xr:uid="{BF57513D-C219-4450-A8F0-5D1BA585C915}">
      <formula1>"W,B.G,WB,WG,BG,WBG"</formula1>
    </dataValidation>
    <dataValidation allowBlank="1" showInputMessage="1" showErrorMessage="1" prompt="List any other symptoms that the person experienced." sqref="AK5:AK404 AG5:AI404 AO5:AO404" xr:uid="{11D2A3F1-F11B-4259-A841-EB4D631B5694}"/>
    <dataValidation allowBlank="1" showInputMessage="1" showErrorMessage="1" prompt="List any complications that the person developed." sqref="AR5:AU404" xr:uid="{65557033-86EA-47B6-8151-97369BEB120D}"/>
    <dataValidation allowBlank="1" showInputMessage="1" showErrorMessage="1" prompt="Enter any other pertinent information in this field." sqref="BA5:BA404" xr:uid="{3B6FC536-84F5-4629-BAC6-C22140D95EB1}"/>
    <dataValidation allowBlank="1" showInputMessage="1" showErrorMessage="1" prompt="List any treatment/antivirals given." sqref="AV5:AV404" xr:uid="{7F0B9B48-DA6E-4007-B064-0182152743E1}"/>
    <dataValidation allowBlank="1" showDropDown="1" showInputMessage="1" showErrorMessage="1" prompt="List any treatment/antivirals given." sqref="AV5:AV404" xr:uid="{A0628A9E-4EF3-49FA-AECD-12C2098ACDB3}"/>
    <dataValidation type="list" allowBlank="1" showDropDown="1" showInputMessage="1" showErrorMessage="1" error="Y or N or blank only." prompt="Y (Yes) or N (No) or blank._x000a_(Press delete to remove value)" sqref="AO5:AO404 AI5:AI404 AK5:AK404" xr:uid="{C8AB3B32-7E50-4A92-AF6F-7699F2EDBD18}">
      <formula1>"Y,N"</formula1>
    </dataValidation>
    <dataValidation type="list" allowBlank="1" showInputMessage="1" showErrorMessage="1" error="Please select from the drop-down list or press delete to remove the value." prompt="Select a value from the drop-down. _x000a_Press delete to remove value." sqref="AN5:AN404" xr:uid="{BCA32CC6-E748-4894-8BE3-5B208490BF49}">
      <formula1>INDIRECT("Test[Test]")</formula1>
    </dataValidation>
    <dataValidation type="list" allowBlank="1" showInputMessage="1" showErrorMessage="1" prompt="Select a value from the drop-down. _x000a_Press delete to remove value." sqref="AL5:AL404 AP385:AP404 AP384 AP5:AP383 AL5:AL404 AN5:AN404" xr:uid="{E587925A-8C26-4F6F-8351-9DD939C51E8B}">
      <formula1>INDIRECT("Aetiologic_Agent[Aetiologic Agent]")</formula1>
    </dataValidation>
    <dataValidation type="list" allowBlank="1" showInputMessage="1" showErrorMessage="1" error="No values besides input list are accepted." prompt="Choose One" sqref="F5 E5:E404" xr:uid="{EAFDFBF1-23F6-4C60-A351-8B5D9D18AB92}">
      <formula1>INDIRECT("ReasonforLL[Reason for LL]")</formula1>
    </dataValidation>
    <dataValidation type="list" allowBlank="1" showDropDown="1" showInputMessage="1" showErrorMessage="1" error="Upper case Y or blank only." prompt="Y (Yes) or blank_x000a_(Press delete to remove value)" sqref="AP5:AP404 AL5:AL404" xr:uid="{F21C8652-E56D-4308-834F-6BAC2EA06AE8}">
      <formula1>INDIRECT("Aetiologic_Agent[Aetiologic Agent]")</formula1>
    </dataValidation>
    <dataValidation allowBlank="1" showInputMessage="1" showErrorMessage="1" prompt="Select the identified agent from the drop-down." sqref="AP5:AP404" xr:uid="{7AC6D6E4-A5D6-46B7-8AF8-F9141046F933}"/>
    <dataValidation type="list" allowBlank="1" showInputMessage="1" showErrorMessage="1" prompt="Select value from drop down._x000a_Press delete to remove value." sqref="AN5:AN404" xr:uid="{B3A7A6C1-CBD9-4A93-A013-F00E4F732786}">
      <formula1>INDIRECT("Test[Test]")</formula1>
    </dataValidation>
    <dataValidation type="list" allowBlank="1" showDropDown="1" showInputMessage="1" showErrorMessage="1" error="Upper case Y or blank only." prompt="Select value from drop down._x000a_Press delete to remove value." sqref="AN5:AN404" xr:uid="{99490B2A-68B5-489D-8906-53EC58DB505F}">
      <formula1>INDIRECT("Test[Test]")</formula1>
    </dataValidation>
    <dataValidation type="list" allowBlank="1" showInputMessage="1" showErrorMessage="1" prompt="Select a value from drop down._x000a_Press delete to remove value." sqref="AJ5:AJ404" xr:uid="{6F9EEE5A-661E-414B-A16E-757CF3EECACE}">
      <formula1>INDIRECT("Test[Test]")</formula1>
    </dataValidation>
    <dataValidation type="list" allowBlank="1" showInputMessage="1" showErrorMessage="1" error="Must be a date between 2021/01/01 and today." prompt="Y (Yes) or N (No)_x000a_Press delete to remove value." sqref="P5:P404" xr:uid="{4974E886-8C2F-4D12-93A9-D08D87F499E5}">
      <formula1>"Y,N"</formula1>
    </dataValidation>
    <dataValidation allowBlank="1" showInputMessage="1" showErrorMessage="1" prompt="Specify organism if 'Other" sqref="AQ5:AQ404" xr:uid="{D1A557E6-977A-43EB-BBD9-F94F7850CAC7}"/>
    <dataValidation allowBlank="1" showDropDown="1" showInputMessage="1" showErrorMessage="1" error="Upper case Y or blank only." prompt="Specify organism if Other is selected." sqref="AQ5:AQ404" xr:uid="{8FCC2322-2EA2-4B3A-9C24-2C6AA8B66915}"/>
    <dataValidation allowBlank="1" showInputMessage="1" showErrorMessage="1" prompt="Specify organism if Other is selected." sqref="AQ5:AQ404 AM5:AM404" xr:uid="{CB57653F-7857-450C-9439-7104776191F4}"/>
    <dataValidation allowBlank="1" showInputMessage="1" showErrorMessage="1" error="Must be a date between 2021/01/01 and today." prompt="yyyy/m/d" sqref="BG5:BG404" xr:uid="{912EA054-CF4D-472B-94E4-28206486DEDF}"/>
    <dataValidation allowBlank="1" showInputMessage="1" showErrorMessage="1" prompt="Enter full name" sqref="B5:B404" xr:uid="{1707FFAF-A12D-4C4E-9C8F-048E62D50D34}"/>
  </dataValidations>
  <pageMargins left="0.70866141732283472" right="0.70866141732283472" top="0.70866141732283472" bottom="0.70866141732283472" header="0.31496062992125984" footer="0.31496062992125984"/>
  <pageSetup scale="63" pageOrder="overThenDown" orientation="landscape" r:id="rId1"/>
  <colBreaks count="4" manualBreakCount="4">
    <brk id="11" max="1048575" man="1"/>
    <brk id="34" max="1048575" man="1"/>
    <brk id="43" max="1048575" man="1"/>
    <brk id="72" max="1048575" man="1"/>
  </col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1719561A-F7FA-49E2-AC6D-F0F68F570EF3}">
            <xm:f>AND('Basic Information'!$B$22="Specific Areas Only",$B5&lt;&gt;"",$H5="")</xm:f>
            <x14:dxf>
              <fill>
                <patternFill>
                  <bgColor theme="5" tint="0.59996337778862885"/>
                </patternFill>
              </fill>
            </x14:dxf>
          </x14:cfRule>
          <xm:sqref>H5:H404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995A-8DEA-48E0-840E-A5A544A1F14B}">
  <sheetPr codeName="Sheet7">
    <tabColor theme="8"/>
  </sheetPr>
  <dimension ref="A1:G107"/>
  <sheetViews>
    <sheetView showGridLines="0" showRowColHeaders="0" zoomScale="56" zoomScaleNormal="100" workbookViewId="0">
      <pane xSplit="1" ySplit="3" topLeftCell="B107" activePane="bottomRight" state="frozen"/>
      <selection pane="topRight" activeCell="B1" sqref="B1"/>
      <selection pane="bottomLeft" activeCell="A4" sqref="A4"/>
      <selection pane="bottomRight" activeCell="A7" sqref="A7"/>
    </sheetView>
  </sheetViews>
  <sheetFormatPr defaultRowHeight="14.4" x14ac:dyDescent="0.3"/>
  <cols>
    <col min="1" max="1" width="87.77734375" customWidth="1"/>
    <col min="2" max="4" width="35.77734375" customWidth="1"/>
    <col min="5" max="6" width="3.77734375" customWidth="1"/>
    <col min="7" max="7" width="63.77734375" customWidth="1"/>
  </cols>
  <sheetData>
    <row r="1" spans="1:7" ht="45" customHeight="1" x14ac:dyDescent="0.3">
      <c r="A1" s="84" t="s">
        <v>522</v>
      </c>
      <c r="B1" s="222" t="s">
        <v>757</v>
      </c>
      <c r="C1" s="223"/>
      <c r="D1" s="223"/>
    </row>
    <row r="2" spans="1:7" ht="18" customHeight="1" x14ac:dyDescent="0.35">
      <c r="A2" s="81" t="s">
        <v>452</v>
      </c>
      <c r="B2" s="223"/>
      <c r="C2" s="223"/>
      <c r="D2" s="223"/>
    </row>
    <row r="3" spans="1:7" x14ac:dyDescent="0.3">
      <c r="A3" s="83" t="s">
        <v>453</v>
      </c>
      <c r="B3" s="84" t="s">
        <v>786</v>
      </c>
      <c r="C3" s="84" t="s">
        <v>754</v>
      </c>
      <c r="D3" s="84" t="s">
        <v>455</v>
      </c>
    </row>
    <row r="4" spans="1:7" ht="28.8" x14ac:dyDescent="0.3">
      <c r="A4" s="85" t="s">
        <v>660</v>
      </c>
      <c r="B4" s="86"/>
      <c r="C4" s="86"/>
      <c r="D4" s="87"/>
    </row>
    <row r="5" spans="1:7" ht="28.8" x14ac:dyDescent="0.3">
      <c r="A5" s="85" t="s">
        <v>661</v>
      </c>
      <c r="B5" s="86"/>
      <c r="C5" s="86"/>
      <c r="D5" s="87"/>
    </row>
    <row r="6" spans="1:7" x14ac:dyDescent="0.3">
      <c r="A6" s="85" t="s">
        <v>764</v>
      </c>
      <c r="B6" s="86"/>
      <c r="C6" s="86"/>
      <c r="D6" s="87"/>
    </row>
    <row r="7" spans="1:7" ht="388.8" x14ac:dyDescent="0.3">
      <c r="A7" s="221" t="s">
        <v>778</v>
      </c>
      <c r="B7" s="86"/>
      <c r="C7" s="86"/>
      <c r="D7" s="87"/>
      <c r="G7" s="187"/>
    </row>
    <row r="8" spans="1:7" ht="72" x14ac:dyDescent="0.3">
      <c r="A8" s="88" t="s">
        <v>662</v>
      </c>
      <c r="B8" s="86"/>
      <c r="C8" s="86"/>
      <c r="D8" s="87"/>
    </row>
    <row r="9" spans="1:7" x14ac:dyDescent="0.3">
      <c r="A9" s="88" t="s">
        <v>663</v>
      </c>
      <c r="B9" s="86"/>
      <c r="C9" s="86"/>
      <c r="D9" s="87"/>
    </row>
    <row r="10" spans="1:7" x14ac:dyDescent="0.3">
      <c r="A10" s="88" t="s">
        <v>755</v>
      </c>
      <c r="B10" s="82" t="s">
        <v>641</v>
      </c>
      <c r="C10" s="86"/>
      <c r="D10" s="87"/>
    </row>
    <row r="11" spans="1:7" ht="115.2" x14ac:dyDescent="0.3">
      <c r="A11" s="88" t="s">
        <v>756</v>
      </c>
      <c r="B11" s="86"/>
      <c r="C11" s="86"/>
      <c r="D11" s="87"/>
    </row>
    <row r="12" spans="1:7" x14ac:dyDescent="0.3">
      <c r="A12" s="83" t="s">
        <v>456</v>
      </c>
      <c r="B12" s="84" t="s">
        <v>454</v>
      </c>
      <c r="C12" s="84" t="s">
        <v>754</v>
      </c>
      <c r="D12" s="84" t="s">
        <v>455</v>
      </c>
    </row>
    <row r="13" spans="1:7" ht="43.2" x14ac:dyDescent="0.3">
      <c r="A13" s="89" t="s">
        <v>723</v>
      </c>
      <c r="B13" s="86"/>
      <c r="C13" s="86"/>
      <c r="D13" s="87"/>
    </row>
    <row r="14" spans="1:7" ht="28.8" x14ac:dyDescent="0.3">
      <c r="A14" s="85" t="s">
        <v>664</v>
      </c>
      <c r="B14" s="86"/>
      <c r="C14" s="86"/>
      <c r="D14" s="87"/>
    </row>
    <row r="15" spans="1:7" ht="28.8" x14ac:dyDescent="0.3">
      <c r="A15" s="90" t="s">
        <v>774</v>
      </c>
      <c r="B15" s="86"/>
      <c r="C15" s="86"/>
      <c r="D15" s="87"/>
    </row>
    <row r="16" spans="1:7" ht="163.05000000000001" customHeight="1" x14ac:dyDescent="0.3">
      <c r="A16" s="89" t="s">
        <v>779</v>
      </c>
      <c r="B16" s="86"/>
      <c r="C16" s="86"/>
      <c r="D16" s="87"/>
    </row>
    <row r="17" spans="1:4" ht="72" x14ac:dyDescent="0.3">
      <c r="A17" s="215" t="s">
        <v>735</v>
      </c>
      <c r="B17" s="211"/>
      <c r="C17" s="211"/>
      <c r="D17" s="212"/>
    </row>
    <row r="18" spans="1:4" x14ac:dyDescent="0.3">
      <c r="A18" s="91" t="s">
        <v>457</v>
      </c>
      <c r="B18" s="92" t="s">
        <v>454</v>
      </c>
      <c r="C18" s="92" t="s">
        <v>754</v>
      </c>
      <c r="D18" s="92" t="s">
        <v>455</v>
      </c>
    </row>
    <row r="19" spans="1:4" ht="28.8" x14ac:dyDescent="0.3">
      <c r="A19" s="93" t="s">
        <v>766</v>
      </c>
      <c r="B19" s="94"/>
      <c r="C19" s="94"/>
      <c r="D19" s="95"/>
    </row>
    <row r="20" spans="1:4" ht="28.8" x14ac:dyDescent="0.3">
      <c r="A20" s="93" t="s">
        <v>666</v>
      </c>
      <c r="B20" s="94"/>
      <c r="C20" s="94"/>
      <c r="D20" s="95"/>
    </row>
    <row r="21" spans="1:4" x14ac:dyDescent="0.3">
      <c r="A21" s="93" t="s">
        <v>767</v>
      </c>
      <c r="B21" s="94"/>
      <c r="C21" s="94"/>
      <c r="D21" s="95"/>
    </row>
    <row r="22" spans="1:4" x14ac:dyDescent="0.3">
      <c r="A22" s="93" t="s">
        <v>768</v>
      </c>
      <c r="B22" s="94"/>
      <c r="C22" s="94"/>
      <c r="D22" s="95"/>
    </row>
    <row r="23" spans="1:4" x14ac:dyDescent="0.3">
      <c r="A23" s="93" t="s">
        <v>665</v>
      </c>
      <c r="B23" s="94"/>
      <c r="C23" s="94"/>
      <c r="D23" s="95"/>
    </row>
    <row r="24" spans="1:4" ht="28.8" x14ac:dyDescent="0.3">
      <c r="A24" s="89" t="s">
        <v>780</v>
      </c>
      <c r="B24" s="86"/>
      <c r="C24" s="86"/>
      <c r="D24" s="87"/>
    </row>
    <row r="25" spans="1:4" ht="28.8" x14ac:dyDescent="0.3">
      <c r="A25" s="89" t="s">
        <v>728</v>
      </c>
      <c r="B25" s="86"/>
      <c r="C25" s="86"/>
      <c r="D25" s="87"/>
    </row>
    <row r="26" spans="1:4" x14ac:dyDescent="0.3">
      <c r="A26" s="89" t="s">
        <v>769</v>
      </c>
      <c r="B26" s="86"/>
      <c r="C26" s="86"/>
      <c r="D26" s="87"/>
    </row>
    <row r="27" spans="1:4" x14ac:dyDescent="0.3">
      <c r="A27" s="219" t="s">
        <v>458</v>
      </c>
      <c r="B27" s="220" t="s">
        <v>454</v>
      </c>
      <c r="C27" s="220" t="s">
        <v>754</v>
      </c>
      <c r="D27" s="220" t="s">
        <v>455</v>
      </c>
    </row>
    <row r="28" spans="1:4" ht="28.8" x14ac:dyDescent="0.3">
      <c r="A28" s="217" t="s">
        <v>608</v>
      </c>
      <c r="B28" s="216"/>
      <c r="C28" s="216"/>
      <c r="D28" s="217"/>
    </row>
    <row r="29" spans="1:4" ht="28.8" x14ac:dyDescent="0.3">
      <c r="A29" s="93" t="s">
        <v>753</v>
      </c>
      <c r="B29" s="101"/>
      <c r="C29" s="101"/>
      <c r="D29" s="93"/>
    </row>
    <row r="30" spans="1:4" ht="43.2" x14ac:dyDescent="0.3">
      <c r="A30" s="218" t="s">
        <v>729</v>
      </c>
      <c r="B30" s="216"/>
      <c r="C30" s="216"/>
      <c r="D30" s="217"/>
    </row>
    <row r="31" spans="1:4" x14ac:dyDescent="0.3">
      <c r="A31" s="93" t="s">
        <v>628</v>
      </c>
      <c r="B31" s="101"/>
      <c r="C31" s="101"/>
      <c r="D31" s="93"/>
    </row>
    <row r="32" spans="1:4" ht="28.8" x14ac:dyDescent="0.3">
      <c r="A32" s="217" t="s">
        <v>609</v>
      </c>
      <c r="B32" s="216"/>
      <c r="C32" s="216"/>
      <c r="D32" s="217"/>
    </row>
    <row r="33" spans="1:4" x14ac:dyDescent="0.3">
      <c r="A33" s="93" t="s">
        <v>629</v>
      </c>
      <c r="B33" s="101"/>
      <c r="C33" s="101"/>
      <c r="D33" s="93"/>
    </row>
    <row r="34" spans="1:4" x14ac:dyDescent="0.3">
      <c r="A34" s="217" t="s">
        <v>630</v>
      </c>
      <c r="B34" s="216"/>
      <c r="C34" s="216"/>
      <c r="D34" s="217"/>
    </row>
    <row r="35" spans="1:4" x14ac:dyDescent="0.3">
      <c r="A35" s="93" t="s">
        <v>459</v>
      </c>
      <c r="B35" s="101"/>
      <c r="C35" s="101"/>
      <c r="D35" s="93"/>
    </row>
    <row r="36" spans="1:4" x14ac:dyDescent="0.3">
      <c r="A36" s="96" t="s">
        <v>736</v>
      </c>
      <c r="B36" s="97" t="s">
        <v>454</v>
      </c>
      <c r="C36" s="97" t="s">
        <v>754</v>
      </c>
      <c r="D36" s="97" t="s">
        <v>455</v>
      </c>
    </row>
    <row r="37" spans="1:4" x14ac:dyDescent="0.3">
      <c r="A37" s="93" t="s">
        <v>737</v>
      </c>
      <c r="B37" s="101"/>
      <c r="C37" s="101"/>
      <c r="D37" s="93"/>
    </row>
    <row r="38" spans="1:4" x14ac:dyDescent="0.3">
      <c r="A38" s="93" t="s">
        <v>738</v>
      </c>
      <c r="B38" s="101"/>
      <c r="C38" s="101"/>
      <c r="D38" s="93"/>
    </row>
    <row r="39" spans="1:4" x14ac:dyDescent="0.3">
      <c r="A39" s="96" t="s">
        <v>460</v>
      </c>
      <c r="B39" s="97" t="s">
        <v>454</v>
      </c>
      <c r="C39" s="97" t="s">
        <v>754</v>
      </c>
      <c r="D39" s="97" t="s">
        <v>455</v>
      </c>
    </row>
    <row r="40" spans="1:4" x14ac:dyDescent="0.3">
      <c r="A40" s="93" t="s">
        <v>758</v>
      </c>
      <c r="B40" s="94"/>
      <c r="C40" s="94"/>
      <c r="D40" s="95"/>
    </row>
    <row r="41" spans="1:4" ht="43.2" x14ac:dyDescent="0.3">
      <c r="A41" s="89" t="s">
        <v>781</v>
      </c>
      <c r="B41" s="86"/>
      <c r="C41" s="86"/>
      <c r="D41" s="87"/>
    </row>
    <row r="42" spans="1:4" ht="43.2" x14ac:dyDescent="0.3">
      <c r="A42" s="89" t="s">
        <v>667</v>
      </c>
      <c r="B42" s="86"/>
      <c r="C42" s="86"/>
      <c r="D42" s="87"/>
    </row>
    <row r="43" spans="1:4" ht="43.2" x14ac:dyDescent="0.3">
      <c r="A43" s="89" t="s">
        <v>668</v>
      </c>
      <c r="B43" s="86"/>
      <c r="C43" s="86"/>
      <c r="D43" s="87"/>
    </row>
    <row r="44" spans="1:4" ht="43.2" x14ac:dyDescent="0.3">
      <c r="A44" s="93" t="s">
        <v>759</v>
      </c>
      <c r="B44" s="94"/>
      <c r="C44" s="86"/>
      <c r="D44" s="87"/>
    </row>
    <row r="45" spans="1:4" x14ac:dyDescent="0.3">
      <c r="A45" s="91" t="s">
        <v>461</v>
      </c>
      <c r="B45" s="92" t="s">
        <v>454</v>
      </c>
      <c r="C45" s="92" t="s">
        <v>754</v>
      </c>
      <c r="D45" s="92" t="s">
        <v>455</v>
      </c>
    </row>
    <row r="46" spans="1:4" ht="43.2" x14ac:dyDescent="0.3">
      <c r="A46" s="169" t="s">
        <v>610</v>
      </c>
      <c r="B46" s="167"/>
      <c r="C46" s="167"/>
      <c r="D46" s="168"/>
    </row>
    <row r="47" spans="1:4" ht="57.6" x14ac:dyDescent="0.3">
      <c r="A47" s="166" t="s">
        <v>760</v>
      </c>
      <c r="B47" s="94"/>
      <c r="C47" s="94"/>
      <c r="D47" s="95"/>
    </row>
    <row r="48" spans="1:4" ht="43.2" x14ac:dyDescent="0.3">
      <c r="A48" s="93" t="s">
        <v>669</v>
      </c>
      <c r="B48" s="94"/>
      <c r="C48" s="94"/>
      <c r="D48" s="95"/>
    </row>
    <row r="49" spans="1:4" ht="28.8" x14ac:dyDescent="0.3">
      <c r="A49" s="93" t="s">
        <v>670</v>
      </c>
      <c r="B49" s="94"/>
      <c r="C49" s="94"/>
      <c r="D49" s="95"/>
    </row>
    <row r="50" spans="1:4" ht="43.2" x14ac:dyDescent="0.3">
      <c r="A50" s="93" t="s">
        <v>631</v>
      </c>
      <c r="B50" s="94"/>
      <c r="C50" s="94"/>
      <c r="D50" s="95"/>
    </row>
    <row r="51" spans="1:4" ht="43.2" x14ac:dyDescent="0.3">
      <c r="A51" s="89" t="s">
        <v>761</v>
      </c>
      <c r="B51" s="86"/>
      <c r="C51" s="86"/>
      <c r="D51" s="87"/>
    </row>
    <row r="52" spans="1:4" ht="28.8" x14ac:dyDescent="0.3">
      <c r="A52" s="98" t="s">
        <v>730</v>
      </c>
      <c r="B52" s="94"/>
      <c r="C52" s="94"/>
      <c r="D52" s="95"/>
    </row>
    <row r="53" spans="1:4" ht="43.2" x14ac:dyDescent="0.3">
      <c r="A53" s="1" t="s">
        <v>671</v>
      </c>
      <c r="B53" s="94"/>
      <c r="C53" s="94"/>
      <c r="D53" s="95"/>
    </row>
    <row r="54" spans="1:4" ht="43.2" x14ac:dyDescent="0.3">
      <c r="A54" s="85" t="s">
        <v>731</v>
      </c>
      <c r="B54" s="94"/>
      <c r="C54" s="94"/>
      <c r="D54" s="95"/>
    </row>
    <row r="55" spans="1:4" ht="28.8" x14ac:dyDescent="0.3">
      <c r="A55" s="1" t="s">
        <v>672</v>
      </c>
      <c r="B55" s="86"/>
      <c r="C55" s="86"/>
      <c r="D55" s="87"/>
    </row>
    <row r="56" spans="1:4" ht="28.8" x14ac:dyDescent="0.3">
      <c r="A56" s="1" t="s">
        <v>673</v>
      </c>
      <c r="B56" s="94"/>
      <c r="C56" s="94"/>
      <c r="D56" s="95"/>
    </row>
    <row r="57" spans="1:4" ht="43.2" x14ac:dyDescent="0.3">
      <c r="A57" s="89" t="s">
        <v>771</v>
      </c>
      <c r="B57" s="86"/>
      <c r="C57" s="86"/>
      <c r="D57" s="87"/>
    </row>
    <row r="58" spans="1:4" ht="57.6" x14ac:dyDescent="0.3">
      <c r="A58" s="89" t="s">
        <v>674</v>
      </c>
      <c r="B58" s="86"/>
      <c r="C58" s="86"/>
      <c r="D58" s="87"/>
    </row>
    <row r="59" spans="1:4" ht="57.6" x14ac:dyDescent="0.3">
      <c r="A59" s="93" t="s">
        <v>675</v>
      </c>
      <c r="B59" s="94"/>
      <c r="C59" s="94"/>
      <c r="D59" s="95"/>
    </row>
    <row r="60" spans="1:4" ht="28.8" x14ac:dyDescent="0.3">
      <c r="A60" s="93" t="s">
        <v>676</v>
      </c>
      <c r="B60" s="94"/>
      <c r="C60" s="94"/>
      <c r="D60" s="95"/>
    </row>
    <row r="61" spans="1:4" x14ac:dyDescent="0.3">
      <c r="A61" s="89" t="s">
        <v>632</v>
      </c>
      <c r="B61" s="86"/>
      <c r="C61" s="86"/>
      <c r="D61" s="87"/>
    </row>
    <row r="62" spans="1:4" ht="43.2" x14ac:dyDescent="0.3">
      <c r="A62" s="89" t="s">
        <v>783</v>
      </c>
      <c r="B62" s="86"/>
      <c r="C62" s="86"/>
      <c r="D62" s="87"/>
    </row>
    <row r="63" spans="1:4" x14ac:dyDescent="0.3">
      <c r="A63" s="96" t="s">
        <v>462</v>
      </c>
      <c r="B63" s="97" t="s">
        <v>454</v>
      </c>
      <c r="C63" s="97" t="s">
        <v>754</v>
      </c>
      <c r="D63" s="97" t="s">
        <v>455</v>
      </c>
    </row>
    <row r="64" spans="1:4" ht="28.8" x14ac:dyDescent="0.3">
      <c r="A64" s="93" t="s">
        <v>463</v>
      </c>
      <c r="B64" s="94"/>
      <c r="C64" s="94"/>
      <c r="D64" s="95"/>
    </row>
    <row r="65" spans="1:4" x14ac:dyDescent="0.3">
      <c r="A65" s="93" t="s">
        <v>633</v>
      </c>
      <c r="B65" s="94"/>
      <c r="C65" s="94"/>
      <c r="D65" s="95"/>
    </row>
    <row r="66" spans="1:4" ht="28.8" x14ac:dyDescent="0.3">
      <c r="A66" s="93" t="s">
        <v>611</v>
      </c>
      <c r="B66" s="94"/>
      <c r="C66" s="94"/>
      <c r="D66" s="95"/>
    </row>
    <row r="67" spans="1:4" ht="28.8" x14ac:dyDescent="0.3">
      <c r="A67" s="93" t="s">
        <v>772</v>
      </c>
      <c r="B67" s="94"/>
      <c r="C67" s="94"/>
      <c r="D67" s="95"/>
    </row>
    <row r="68" spans="1:4" ht="28.8" x14ac:dyDescent="0.3">
      <c r="A68" s="93" t="s">
        <v>784</v>
      </c>
      <c r="B68" s="94"/>
      <c r="C68" s="94"/>
      <c r="D68" s="95"/>
    </row>
    <row r="69" spans="1:4" x14ac:dyDescent="0.3">
      <c r="A69" s="89" t="s">
        <v>464</v>
      </c>
      <c r="B69" s="86"/>
      <c r="C69" s="86"/>
      <c r="D69" s="87"/>
    </row>
    <row r="70" spans="1:4" ht="28.8" x14ac:dyDescent="0.3">
      <c r="A70" s="170" t="s">
        <v>770</v>
      </c>
      <c r="B70" s="86"/>
      <c r="C70" s="86"/>
      <c r="D70" s="87"/>
    </row>
    <row r="71" spans="1:4" x14ac:dyDescent="0.3">
      <c r="A71" s="89" t="s">
        <v>465</v>
      </c>
      <c r="B71" s="94"/>
      <c r="C71" s="94"/>
      <c r="D71" s="95"/>
    </row>
    <row r="72" spans="1:4" ht="28.8" x14ac:dyDescent="0.3">
      <c r="A72" s="89" t="s">
        <v>466</v>
      </c>
      <c r="B72" s="86"/>
      <c r="C72" s="86"/>
      <c r="D72" s="87"/>
    </row>
    <row r="73" spans="1:4" x14ac:dyDescent="0.3">
      <c r="A73" s="99" t="s">
        <v>467</v>
      </c>
      <c r="B73" s="100" t="s">
        <v>454</v>
      </c>
      <c r="C73" s="100" t="s">
        <v>754</v>
      </c>
      <c r="D73" s="100" t="s">
        <v>455</v>
      </c>
    </row>
    <row r="74" spans="1:4" ht="43.2" x14ac:dyDescent="0.3">
      <c r="A74" s="89" t="s">
        <v>468</v>
      </c>
      <c r="B74" s="86"/>
      <c r="C74" s="86"/>
      <c r="D74" s="87"/>
    </row>
    <row r="75" spans="1:4" ht="43.2" x14ac:dyDescent="0.3">
      <c r="A75" s="89" t="s">
        <v>785</v>
      </c>
      <c r="B75" s="86"/>
      <c r="C75" s="86"/>
      <c r="D75" s="87"/>
    </row>
    <row r="76" spans="1:4" ht="28.8" x14ac:dyDescent="0.3">
      <c r="A76" s="89" t="s">
        <v>645</v>
      </c>
      <c r="B76" s="86"/>
      <c r="C76" s="86"/>
      <c r="D76" s="87"/>
    </row>
    <row r="77" spans="1:4" x14ac:dyDescent="0.3">
      <c r="A77" s="89" t="s">
        <v>634</v>
      </c>
      <c r="B77" s="86"/>
      <c r="C77" s="86"/>
      <c r="D77" s="87"/>
    </row>
    <row r="78" spans="1:4" ht="28.8" x14ac:dyDescent="0.3">
      <c r="A78" s="89" t="s">
        <v>732</v>
      </c>
      <c r="B78" s="211"/>
      <c r="C78" s="211"/>
      <c r="D78" s="212"/>
    </row>
    <row r="79" spans="1:4" ht="28.8" x14ac:dyDescent="0.3">
      <c r="A79" s="89" t="s">
        <v>762</v>
      </c>
      <c r="B79" s="211"/>
      <c r="C79" s="211"/>
      <c r="D79" s="212"/>
    </row>
    <row r="80" spans="1:4" x14ac:dyDescent="0.3">
      <c r="A80" s="99" t="s">
        <v>469</v>
      </c>
      <c r="B80" s="100" t="s">
        <v>454</v>
      </c>
      <c r="C80" s="100" t="s">
        <v>754</v>
      </c>
      <c r="D80" s="100" t="s">
        <v>455</v>
      </c>
    </row>
    <row r="81" spans="1:7" ht="43.2" x14ac:dyDescent="0.3">
      <c r="A81" s="89" t="s">
        <v>470</v>
      </c>
      <c r="B81" s="86"/>
      <c r="C81" s="86"/>
      <c r="D81" s="87"/>
    </row>
    <row r="82" spans="1:7" ht="28.8" x14ac:dyDescent="0.3">
      <c r="A82" s="89" t="s">
        <v>612</v>
      </c>
      <c r="B82" s="171"/>
      <c r="C82" s="171"/>
      <c r="D82" s="172"/>
    </row>
    <row r="83" spans="1:7" x14ac:dyDescent="0.3">
      <c r="A83" s="89" t="s">
        <v>471</v>
      </c>
      <c r="B83" s="86"/>
      <c r="C83" s="86"/>
      <c r="D83" s="87"/>
    </row>
    <row r="84" spans="1:7" x14ac:dyDescent="0.3">
      <c r="A84" s="89" t="s">
        <v>472</v>
      </c>
      <c r="B84" s="86"/>
      <c r="C84" s="86"/>
      <c r="D84" s="87"/>
    </row>
    <row r="85" spans="1:7" ht="28.8" x14ac:dyDescent="0.3">
      <c r="A85" s="89" t="s">
        <v>473</v>
      </c>
      <c r="B85" s="86"/>
      <c r="C85" s="86"/>
      <c r="D85" s="87"/>
    </row>
    <row r="86" spans="1:7" x14ac:dyDescent="0.3">
      <c r="A86" s="89" t="s">
        <v>635</v>
      </c>
      <c r="B86" s="86"/>
      <c r="C86" s="86"/>
      <c r="D86" s="87"/>
    </row>
    <row r="87" spans="1:7" x14ac:dyDescent="0.3">
      <c r="A87" s="89" t="s">
        <v>474</v>
      </c>
      <c r="B87" s="86"/>
      <c r="C87" s="86"/>
      <c r="D87" s="87"/>
    </row>
    <row r="88" spans="1:7" ht="28.8" x14ac:dyDescent="0.3">
      <c r="A88" s="89" t="s">
        <v>636</v>
      </c>
      <c r="B88" s="86"/>
      <c r="C88" s="86"/>
      <c r="D88" s="87"/>
    </row>
    <row r="89" spans="1:7" x14ac:dyDescent="0.3">
      <c r="A89" s="91" t="s">
        <v>475</v>
      </c>
      <c r="B89" s="92" t="s">
        <v>454</v>
      </c>
      <c r="C89" s="92" t="s">
        <v>754</v>
      </c>
      <c r="D89" s="92" t="s">
        <v>455</v>
      </c>
      <c r="G89" s="177"/>
    </row>
    <row r="90" spans="1:7" x14ac:dyDescent="0.3">
      <c r="A90" s="93" t="s">
        <v>733</v>
      </c>
      <c r="B90" s="94"/>
      <c r="C90" s="94"/>
      <c r="D90" s="95"/>
      <c r="G90" s="177"/>
    </row>
    <row r="91" spans="1:7" x14ac:dyDescent="0.3">
      <c r="A91" s="93" t="s">
        <v>637</v>
      </c>
      <c r="B91" s="94"/>
      <c r="C91" s="94"/>
      <c r="D91" s="95"/>
      <c r="G91" s="177"/>
    </row>
    <row r="92" spans="1:7" ht="28.8" x14ac:dyDescent="0.3">
      <c r="A92" s="89" t="s">
        <v>782</v>
      </c>
      <c r="B92" s="86"/>
      <c r="C92" s="86"/>
      <c r="D92" s="87"/>
      <c r="G92" s="177"/>
    </row>
    <row r="93" spans="1:7" ht="28.8" x14ac:dyDescent="0.3">
      <c r="A93" s="93" t="s">
        <v>763</v>
      </c>
      <c r="B93" s="213"/>
      <c r="C93" s="213"/>
      <c r="D93" s="214"/>
      <c r="G93" s="177"/>
    </row>
    <row r="94" spans="1:7" x14ac:dyDescent="0.3">
      <c r="A94" s="188" t="s">
        <v>638</v>
      </c>
      <c r="B94" s="84" t="s">
        <v>454</v>
      </c>
      <c r="C94" s="84" t="s">
        <v>754</v>
      </c>
      <c r="D94" s="188" t="s">
        <v>455</v>
      </c>
    </row>
    <row r="95" spans="1:7" x14ac:dyDescent="0.3">
      <c r="A95" s="89" t="s">
        <v>734</v>
      </c>
      <c r="B95" s="86"/>
      <c r="C95" s="86"/>
      <c r="D95" s="87"/>
    </row>
    <row r="96" spans="1:7" x14ac:dyDescent="0.3">
      <c r="A96" s="178" t="s">
        <v>639</v>
      </c>
      <c r="B96" s="84" t="s">
        <v>454</v>
      </c>
      <c r="C96" s="84" t="s">
        <v>754</v>
      </c>
      <c r="D96" s="178" t="s">
        <v>455</v>
      </c>
    </row>
    <row r="97" spans="1:4" ht="15" customHeight="1" x14ac:dyDescent="0.3">
      <c r="A97" s="89" t="s">
        <v>640</v>
      </c>
      <c r="B97" s="86"/>
      <c r="C97" s="86"/>
      <c r="D97" s="87"/>
    </row>
    <row r="98" spans="1:4" ht="24.75" customHeight="1" x14ac:dyDescent="0.3">
      <c r="A98" s="89" t="s">
        <v>637</v>
      </c>
      <c r="B98" s="86"/>
      <c r="C98" s="86"/>
      <c r="D98" s="87"/>
    </row>
    <row r="99" spans="1:4" x14ac:dyDescent="0.3">
      <c r="A99" s="91" t="s">
        <v>476</v>
      </c>
      <c r="B99" s="92" t="s">
        <v>454</v>
      </c>
      <c r="C99" s="92" t="s">
        <v>754</v>
      </c>
      <c r="D99" s="92" t="s">
        <v>455</v>
      </c>
    </row>
    <row r="100" spans="1:4" ht="172.8" x14ac:dyDescent="0.3">
      <c r="A100" s="93" t="s">
        <v>775</v>
      </c>
      <c r="B100" s="94"/>
      <c r="C100" s="94"/>
      <c r="D100" s="95"/>
    </row>
    <row r="101" spans="1:4" ht="86.4" x14ac:dyDescent="0.3">
      <c r="A101" s="93" t="s">
        <v>765</v>
      </c>
      <c r="B101" s="94"/>
      <c r="C101" s="94"/>
      <c r="D101" s="95"/>
    </row>
    <row r="102" spans="1:4" ht="28.8" x14ac:dyDescent="0.3">
      <c r="A102" s="93" t="s">
        <v>613</v>
      </c>
      <c r="B102" s="94"/>
      <c r="C102" s="94"/>
      <c r="D102" s="95"/>
    </row>
    <row r="103" spans="1:4" ht="15" thickBot="1" x14ac:dyDescent="0.35">
      <c r="B103" s="101"/>
      <c r="C103" s="101"/>
      <c r="D103" s="93"/>
    </row>
    <row r="104" spans="1:4" ht="15" thickBot="1" x14ac:dyDescent="0.35">
      <c r="A104" s="179" t="s">
        <v>477</v>
      </c>
      <c r="B104" s="105" t="s">
        <v>478</v>
      </c>
      <c r="C104" s="105" t="s">
        <v>478</v>
      </c>
      <c r="D104" s="85"/>
    </row>
    <row r="105" spans="1:4" ht="48.6" x14ac:dyDescent="0.3">
      <c r="A105" s="1"/>
      <c r="B105" s="103">
        <f>COUNTIF(B3:B102,"")</f>
        <v>85</v>
      </c>
      <c r="C105" s="103">
        <f>COUNTIF(C3:C102,"")</f>
        <v>86</v>
      </c>
      <c r="D105" s="85"/>
    </row>
    <row r="106" spans="1:4" ht="48.6" x14ac:dyDescent="0.3">
      <c r="A106" s="1"/>
      <c r="B106" s="126"/>
      <c r="C106" s="126"/>
      <c r="D106" s="85"/>
    </row>
    <row r="107" spans="1:4" ht="48.6" x14ac:dyDescent="0.3">
      <c r="A107" s="1"/>
      <c r="B107" s="126"/>
      <c r="C107" s="126"/>
      <c r="D107" s="85"/>
    </row>
  </sheetData>
  <mergeCells count="1">
    <mergeCell ref="B1:D2"/>
  </mergeCells>
  <conditionalFormatting sqref="B3:B35 B37:B102">
    <cfRule type="expression" dxfId="19" priority="4">
      <formula>ISBLANK(B3)</formula>
    </cfRule>
  </conditionalFormatting>
  <conditionalFormatting sqref="B36">
    <cfRule type="expression" dxfId="18" priority="2">
      <formula>ISBLANK(B36)</formula>
    </cfRule>
  </conditionalFormatting>
  <conditionalFormatting sqref="C3:C35 C37:C102">
    <cfRule type="expression" dxfId="17" priority="3">
      <formula>ISBLANK(C3)</formula>
    </cfRule>
  </conditionalFormatting>
  <conditionalFormatting sqref="C36">
    <cfRule type="expression" dxfId="16" priority="1">
      <formula>ISBLANK(C36)</formula>
    </cfRule>
  </conditionalFormatting>
  <dataValidations count="2">
    <dataValidation type="textLength" operator="lessThanOrEqual" allowBlank="1" showInputMessage="1" showErrorMessage="1" sqref="D103:D107 B104:C105" xr:uid="{3C20D011-63BA-4ECE-BE1F-7B870367CB8B}">
      <formula1>1024</formula1>
    </dataValidation>
    <dataValidation type="list" allowBlank="1" showInputMessage="1" showErrorMessage="1" prompt="Enter an assessment of how well this intervention was implemented." sqref="B81:C88 B64:C72 B100:C102 B4:C11 B95:C95 B97:C98 B19:C26 B40:C44 B13:C17 B90:C93 B74:C79 B28:C35 B37:C38 B46:C62" xr:uid="{AB19E685-3759-4F7E-9927-50999F511989}">
      <formula1>"Unassessed,Satisfactory,See Recommendations, Not Applicable"</formula1>
    </dataValidation>
  </dataValidations>
  <hyperlinks>
    <hyperlink ref="A104" location="Control_Measures" display="Click to return to Summary" xr:uid="{2EAB4797-22EE-4127-9EC7-5BD1093D88DD}"/>
    <hyperlink ref="A30" r:id="rId1" display="Ensure the ABHR is authorized for use by Health Canada, is not expired/recalled, and that its natural product number (NPN) is displayed on the label. Click this cell to be directed to the Health Canada list of approved ABHR products." xr:uid="{CDB65E8F-355B-4530-ADF4-8DF6B1542E58}"/>
    <hyperlink ref="A70" r:id="rId2" display="Ensure proper steps for donning and doffing of PPE (including hand hygiene) are reviewed &amp; followed as per Public Health Ontario best practice guidelines. Click this cell to be directed to the PHO guidelines." xr:uid="{0275488D-281C-4379-91D8-D7E20919B3CE}"/>
    <hyperlink ref="A47" r:id="rId3" display="For facilities/areas in respiratory outbreak, residents must be cohorted (including separating exposed versus unexposed residents) for all non-essential activities, including communal dining, organized events, and social gatherings. Different cohorts are not to be mixed. Facilities are to follow cohorting practices as outined in the Ministry guidance." xr:uid="{C0E37420-F4BD-41A7-A36A-6B2A9753D368}"/>
    <hyperlink ref="A17" r:id="rId4" display="Where an enteric outbreak has been declared, stool samples should be collected. Refer to Public Health Ontario’s testing information for guidance. Ensure correct collection and labelling of specimens and lab requisition forms. At least three unique identifiers are required on the specimen container(s). The identifiers must match the requisition form (D.O.B., name of resident, date collected, and/or outbreak number, etc.)." xr:uid="{597ED81D-A14F-4145-B31D-B244B7344995}"/>
  </hyperlinks>
  <pageMargins left="0.7" right="0.7" top="0.75" bottom="0.75" header="0.3" footer="0.3"/>
  <pageSetup orientation="portrait" r:id="rId5"/>
  <drawing r:id="rId6"/>
  <legacyDrawing r:id="rId7"/>
  <tableParts count="14">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1C7C-E90F-49A2-B5CB-FD0A61630C25}">
  <sheetPr codeName="Sheet8">
    <tabColor theme="8"/>
  </sheetPr>
  <dimension ref="A1:E58"/>
  <sheetViews>
    <sheetView showGridLines="0" showRowColHeaders="0" zoomScaleNormal="100" workbookViewId="0">
      <selection activeCell="C3" sqref="C3"/>
    </sheetView>
  </sheetViews>
  <sheetFormatPr defaultColWidth="9.21875" defaultRowHeight="14.4" x14ac:dyDescent="0.3"/>
  <cols>
    <col min="1" max="1" width="2.77734375" style="1" customWidth="1"/>
    <col min="2" max="2" width="79.77734375" style="1" customWidth="1"/>
    <col min="3" max="4" width="4.21875" style="1" customWidth="1"/>
    <col min="5" max="5" width="25.77734375" style="1" customWidth="1"/>
    <col min="6" max="16384" width="9.21875" style="1"/>
  </cols>
  <sheetData>
    <row r="1" spans="1:5" customFormat="1" x14ac:dyDescent="0.3">
      <c r="A1" s="84" t="s">
        <v>560</v>
      </c>
    </row>
    <row r="2" spans="1:5" x14ac:dyDescent="0.3">
      <c r="B2" s="190" t="s">
        <v>591</v>
      </c>
      <c r="C2" s="159" t="s">
        <v>592</v>
      </c>
      <c r="D2" s="160"/>
      <c r="E2" s="159"/>
    </row>
    <row r="3" spans="1:5" x14ac:dyDescent="0.3">
      <c r="B3" s="189" t="s">
        <v>683</v>
      </c>
      <c r="C3" s="195"/>
      <c r="D3" s="193"/>
      <c r="E3" s="194"/>
    </row>
    <row r="4" spans="1:5" x14ac:dyDescent="0.3">
      <c r="B4" s="189" t="s">
        <v>682</v>
      </c>
      <c r="C4" s="195"/>
      <c r="D4" s="193"/>
      <c r="E4" s="194"/>
    </row>
    <row r="5" spans="1:5" x14ac:dyDescent="0.3">
      <c r="B5" s="189" t="s">
        <v>684</v>
      </c>
      <c r="C5" s="195"/>
      <c r="D5" s="193"/>
      <c r="E5" s="194"/>
    </row>
    <row r="6" spans="1:5" x14ac:dyDescent="0.3">
      <c r="B6" s="189" t="s">
        <v>685</v>
      </c>
      <c r="C6" s="195"/>
      <c r="D6" s="193"/>
      <c r="E6" s="194"/>
    </row>
    <row r="7" spans="1:5" x14ac:dyDescent="0.3">
      <c r="B7" s="189" t="s">
        <v>686</v>
      </c>
      <c r="C7" s="195"/>
      <c r="D7" s="193"/>
      <c r="E7" s="194"/>
    </row>
    <row r="8" spans="1:5" x14ac:dyDescent="0.3">
      <c r="B8" s="189" t="s">
        <v>687</v>
      </c>
      <c r="C8" s="195"/>
      <c r="D8" s="193"/>
      <c r="E8" s="194"/>
    </row>
    <row r="9" spans="1:5" x14ac:dyDescent="0.3">
      <c r="B9" s="189" t="s">
        <v>688</v>
      </c>
      <c r="C9" s="195"/>
      <c r="D9" s="193"/>
      <c r="E9" s="194"/>
    </row>
    <row r="10" spans="1:5" x14ac:dyDescent="0.3">
      <c r="B10" s="189" t="s">
        <v>689</v>
      </c>
      <c r="C10" s="195"/>
      <c r="D10" s="193"/>
      <c r="E10" s="194"/>
    </row>
    <row r="11" spans="1:5" x14ac:dyDescent="0.3">
      <c r="B11" s="189" t="s">
        <v>690</v>
      </c>
      <c r="C11" s="195"/>
      <c r="D11" s="193"/>
      <c r="E11" s="194"/>
    </row>
    <row r="12" spans="1:5" x14ac:dyDescent="0.3">
      <c r="B12" s="189" t="s">
        <v>691</v>
      </c>
      <c r="C12" s="195"/>
      <c r="D12" s="193"/>
      <c r="E12" s="194"/>
    </row>
    <row r="13" spans="1:5" x14ac:dyDescent="0.3">
      <c r="B13" s="189" t="s">
        <v>692</v>
      </c>
      <c r="C13" s="195"/>
      <c r="D13" s="193"/>
      <c r="E13" s="194"/>
    </row>
    <row r="14" spans="1:5" x14ac:dyDescent="0.3">
      <c r="B14" s="189" t="s">
        <v>693</v>
      </c>
      <c r="C14" s="195"/>
      <c r="D14" s="193"/>
      <c r="E14" s="194"/>
    </row>
    <row r="15" spans="1:5" x14ac:dyDescent="0.3">
      <c r="B15" s="189" t="s">
        <v>694</v>
      </c>
      <c r="C15" s="195"/>
      <c r="D15" s="193"/>
      <c r="E15" s="194"/>
    </row>
    <row r="16" spans="1:5" x14ac:dyDescent="0.3">
      <c r="B16" s="189" t="s">
        <v>695</v>
      </c>
      <c r="C16" s="195"/>
      <c r="D16" s="193"/>
      <c r="E16" s="194"/>
    </row>
    <row r="17" spans="2:5" x14ac:dyDescent="0.3">
      <c r="B17" s="189" t="s">
        <v>696</v>
      </c>
      <c r="C17" s="195"/>
      <c r="D17" s="193"/>
      <c r="E17" s="194"/>
    </row>
    <row r="18" spans="2:5" x14ac:dyDescent="0.3">
      <c r="B18" s="189" t="s">
        <v>697</v>
      </c>
      <c r="C18" s="195"/>
      <c r="D18" s="193"/>
      <c r="E18" s="194"/>
    </row>
    <row r="19" spans="2:5" ht="15" customHeight="1" x14ac:dyDescent="0.3">
      <c r="B19" s="189" t="s">
        <v>698</v>
      </c>
      <c r="C19" s="195"/>
      <c r="D19" s="193"/>
      <c r="E19" s="194"/>
    </row>
    <row r="20" spans="2:5" x14ac:dyDescent="0.3">
      <c r="B20" s="158" t="s">
        <v>699</v>
      </c>
      <c r="C20" s="159"/>
      <c r="D20" s="160"/>
      <c r="E20" s="159"/>
    </row>
    <row r="21" spans="2:5" x14ac:dyDescent="0.3">
      <c r="B21" s="157" t="s">
        <v>561</v>
      </c>
      <c r="C21" s="196"/>
      <c r="D21" s="161"/>
      <c r="E21" s="161"/>
    </row>
    <row r="22" spans="2:5" x14ac:dyDescent="0.3">
      <c r="B22" s="157" t="s">
        <v>564</v>
      </c>
      <c r="C22" s="196"/>
      <c r="D22" s="161"/>
      <c r="E22" s="161"/>
    </row>
    <row r="23" spans="2:5" ht="28.8" x14ac:dyDescent="0.3">
      <c r="B23" s="157" t="s">
        <v>593</v>
      </c>
      <c r="C23" s="196"/>
      <c r="D23" s="161"/>
      <c r="E23" s="161"/>
    </row>
    <row r="24" spans="2:5" x14ac:dyDescent="0.3">
      <c r="B24" s="162" t="s">
        <v>562</v>
      </c>
      <c r="C24" s="197"/>
      <c r="D24" s="163"/>
      <c r="E24" s="161"/>
    </row>
    <row r="25" spans="2:5" x14ac:dyDescent="0.3">
      <c r="B25" s="165" t="s">
        <v>563</v>
      </c>
      <c r="C25" s="224"/>
      <c r="D25" s="225"/>
      <c r="E25" s="226"/>
    </row>
    <row r="26" spans="2:5" x14ac:dyDescent="0.3">
      <c r="B26" s="158" t="s">
        <v>700</v>
      </c>
      <c r="C26" s="161"/>
      <c r="D26" s="161"/>
      <c r="E26" s="161"/>
    </row>
    <row r="27" spans="2:5" x14ac:dyDescent="0.3">
      <c r="B27" s="157" t="s">
        <v>565</v>
      </c>
      <c r="C27" s="196"/>
      <c r="D27" s="161"/>
      <c r="E27" s="161"/>
    </row>
    <row r="28" spans="2:5" x14ac:dyDescent="0.3">
      <c r="B28" s="157" t="s">
        <v>566</v>
      </c>
      <c r="C28" s="196"/>
      <c r="D28" s="161"/>
      <c r="E28" s="161"/>
    </row>
    <row r="29" spans="2:5" ht="28.8" x14ac:dyDescent="0.3">
      <c r="B29" s="157" t="s">
        <v>567</v>
      </c>
      <c r="C29" s="196"/>
      <c r="D29" s="161"/>
      <c r="E29" s="161"/>
    </row>
    <row r="30" spans="2:5" x14ac:dyDescent="0.3">
      <c r="B30" s="157" t="s">
        <v>568</v>
      </c>
      <c r="C30" s="196"/>
      <c r="D30" s="161"/>
      <c r="E30" s="161"/>
    </row>
    <row r="31" spans="2:5" ht="28.8" x14ac:dyDescent="0.3">
      <c r="B31" s="157" t="s">
        <v>569</v>
      </c>
      <c r="C31" s="196"/>
      <c r="D31" s="161"/>
      <c r="E31" s="161"/>
    </row>
    <row r="32" spans="2:5" x14ac:dyDescent="0.3">
      <c r="B32" s="157" t="s">
        <v>570</v>
      </c>
      <c r="C32" s="196"/>
      <c r="D32" s="161"/>
      <c r="E32" s="161"/>
    </row>
    <row r="33" spans="2:5" x14ac:dyDescent="0.3">
      <c r="B33" s="158" t="s">
        <v>701</v>
      </c>
      <c r="C33" s="161"/>
      <c r="D33" s="161"/>
      <c r="E33" s="161"/>
    </row>
    <row r="34" spans="2:5" x14ac:dyDescent="0.3">
      <c r="B34" s="157" t="s">
        <v>571</v>
      </c>
      <c r="C34" s="196"/>
      <c r="D34" s="161"/>
      <c r="E34" s="161"/>
    </row>
    <row r="35" spans="2:5" x14ac:dyDescent="0.3">
      <c r="B35" s="162" t="s">
        <v>572</v>
      </c>
      <c r="C35" s="197"/>
      <c r="D35" s="163"/>
      <c r="E35" s="161"/>
    </row>
    <row r="36" spans="2:5" x14ac:dyDescent="0.3">
      <c r="B36" s="165" t="s">
        <v>711</v>
      </c>
      <c r="C36" s="227"/>
      <c r="D36" s="228"/>
      <c r="E36" s="229"/>
    </row>
    <row r="37" spans="2:5" ht="14.25" customHeight="1" x14ac:dyDescent="0.3">
      <c r="B37" s="164" t="s">
        <v>573</v>
      </c>
      <c r="C37" s="198"/>
      <c r="D37" s="198"/>
      <c r="E37" s="161"/>
    </row>
    <row r="38" spans="2:5" x14ac:dyDescent="0.3">
      <c r="B38" s="157" t="s">
        <v>574</v>
      </c>
      <c r="C38" s="196"/>
      <c r="D38" s="196"/>
      <c r="E38" s="161"/>
    </row>
    <row r="39" spans="2:5" ht="15" customHeight="1" x14ac:dyDescent="0.3">
      <c r="B39" s="157" t="s">
        <v>575</v>
      </c>
      <c r="C39" s="196"/>
      <c r="D39" s="196"/>
      <c r="E39" s="161"/>
    </row>
    <row r="40" spans="2:5" x14ac:dyDescent="0.3">
      <c r="B40" s="157" t="s">
        <v>576</v>
      </c>
      <c r="C40" s="196"/>
      <c r="D40" s="196"/>
      <c r="E40" s="161"/>
    </row>
    <row r="41" spans="2:5" x14ac:dyDescent="0.3">
      <c r="B41" s="157" t="s">
        <v>577</v>
      </c>
      <c r="C41" s="196"/>
      <c r="D41" s="196"/>
      <c r="E41" s="161"/>
    </row>
    <row r="42" spans="2:5" x14ac:dyDescent="0.3">
      <c r="B42" s="157" t="s">
        <v>578</v>
      </c>
      <c r="C42" s="196"/>
      <c r="D42" s="196"/>
      <c r="E42" s="161"/>
    </row>
    <row r="43" spans="2:5" x14ac:dyDescent="0.3">
      <c r="B43" s="157" t="s">
        <v>579</v>
      </c>
      <c r="C43" s="196"/>
      <c r="D43" s="196"/>
      <c r="E43" s="161"/>
    </row>
    <row r="44" spans="2:5" x14ac:dyDescent="0.3">
      <c r="B44" s="157" t="s">
        <v>580</v>
      </c>
      <c r="C44" s="196"/>
      <c r="D44" s="196"/>
      <c r="E44" s="161"/>
    </row>
    <row r="45" spans="2:5" x14ac:dyDescent="0.3">
      <c r="B45" s="157" t="s">
        <v>581</v>
      </c>
      <c r="C45" s="196"/>
      <c r="D45" s="196"/>
      <c r="E45" s="161"/>
    </row>
    <row r="46" spans="2:5" x14ac:dyDescent="0.3">
      <c r="B46" s="157" t="s">
        <v>582</v>
      </c>
      <c r="C46" s="196"/>
      <c r="D46" s="196"/>
      <c r="E46" s="161"/>
    </row>
    <row r="47" spans="2:5" x14ac:dyDescent="0.3">
      <c r="B47" s="157" t="s">
        <v>583</v>
      </c>
      <c r="C47" s="196"/>
      <c r="D47" s="196"/>
      <c r="E47" s="161"/>
    </row>
    <row r="48" spans="2:5" x14ac:dyDescent="0.3">
      <c r="B48" s="157" t="s">
        <v>584</v>
      </c>
      <c r="C48" s="196"/>
      <c r="D48" s="196"/>
      <c r="E48" s="161"/>
    </row>
    <row r="49" spans="2:5" ht="28.8" x14ac:dyDescent="0.3">
      <c r="B49" s="157" t="s">
        <v>585</v>
      </c>
      <c r="C49" s="196"/>
      <c r="D49" s="161"/>
      <c r="E49" s="161"/>
    </row>
    <row r="50" spans="2:5" x14ac:dyDescent="0.3">
      <c r="B50" s="157" t="s">
        <v>586</v>
      </c>
      <c r="C50" s="196"/>
      <c r="D50" s="161"/>
      <c r="E50" s="161"/>
    </row>
    <row r="51" spans="2:5" ht="28.8" x14ac:dyDescent="0.3">
      <c r="B51" s="157" t="s">
        <v>587</v>
      </c>
      <c r="C51" s="196"/>
      <c r="D51" s="161"/>
      <c r="E51" s="161"/>
    </row>
    <row r="52" spans="2:5" x14ac:dyDescent="0.3">
      <c r="B52" s="157" t="s">
        <v>594</v>
      </c>
      <c r="C52" s="196"/>
      <c r="D52" s="161"/>
      <c r="E52" s="161"/>
    </row>
    <row r="53" spans="2:5" x14ac:dyDescent="0.3">
      <c r="B53" s="157" t="s">
        <v>588</v>
      </c>
      <c r="C53" s="196"/>
      <c r="D53" s="161"/>
      <c r="E53" s="161"/>
    </row>
    <row r="54" spans="2:5" x14ac:dyDescent="0.3">
      <c r="B54" s="157" t="s">
        <v>589</v>
      </c>
      <c r="C54" s="227"/>
      <c r="D54" s="228"/>
      <c r="E54" s="229"/>
    </row>
    <row r="55" spans="2:5" x14ac:dyDescent="0.3">
      <c r="B55" s="158" t="s">
        <v>702</v>
      </c>
      <c r="C55" s="161"/>
      <c r="D55" s="161"/>
      <c r="E55" s="161"/>
    </row>
    <row r="56" spans="2:5" ht="15" customHeight="1" x14ac:dyDescent="0.3">
      <c r="B56" s="157" t="s">
        <v>590</v>
      </c>
      <c r="C56" s="227"/>
      <c r="D56" s="228"/>
      <c r="E56" s="229"/>
    </row>
    <row r="58" spans="2:5" x14ac:dyDescent="0.3">
      <c r="B58" s="199" t="s">
        <v>722</v>
      </c>
      <c r="C58" s="1">
        <f>COUNTA(C3:C19,C21:C24,C27:C31,C34:C35)</f>
        <v>0</v>
      </c>
    </row>
  </sheetData>
  <sheetProtection sheet="1" objects="1" scenarios="1" formatCells="0" selectLockedCells="1"/>
  <mergeCells count="4">
    <mergeCell ref="C25:E25"/>
    <mergeCell ref="C36:E36"/>
    <mergeCell ref="C54:E54"/>
    <mergeCell ref="C56:E56"/>
  </mergeCells>
  <conditionalFormatting sqref="C22">
    <cfRule type="expression" dxfId="14" priority="6">
      <formula>AND(C21="Y",ISBLANK(C22))</formula>
    </cfRule>
  </conditionalFormatting>
  <conditionalFormatting sqref="C49">
    <cfRule type="expression" dxfId="13" priority="4">
      <formula>AND(COUNTA($C$37:$C$48)&gt;0,ISBLANK(C49))</formula>
    </cfRule>
  </conditionalFormatting>
  <conditionalFormatting sqref="C50">
    <cfRule type="expression" dxfId="12" priority="3">
      <formula>AND(C49="N",ISBLANK(C50))</formula>
    </cfRule>
  </conditionalFormatting>
  <conditionalFormatting sqref="C51">
    <cfRule type="expression" dxfId="11" priority="2">
      <formula>AND(C35="Y",ISBLANK(C51))</formula>
    </cfRule>
  </conditionalFormatting>
  <conditionalFormatting sqref="C52:C53">
    <cfRule type="expression" dxfId="10" priority="1">
      <formula>AND($C$51="Y",ISBLANK(C52))</formula>
    </cfRule>
  </conditionalFormatting>
  <dataValidations count="9">
    <dataValidation type="list" allowBlank="1" showInputMessage="1" showErrorMessage="1" error="Upper case Y or N or blank only." prompt="Y (Yes), N (No) or blank_x000a_(press delete to remove value)" sqref="C53 C27:C31 C34:C35 C49 C50 C51 C22:C24 C21 C3:C19" xr:uid="{A299D175-BEFA-4E44-84BF-8AB034802182}">
      <formula1>"Y,N"</formula1>
    </dataValidation>
    <dataValidation type="whole" allowBlank="1" showInputMessage="1" showErrorMessage="1" error="This field only accepts whole numbers." prompt="number of staff excluded" sqref="C32" xr:uid="{D4D0703D-DD07-422B-AC9A-751A8FECFD90}">
      <formula1>0</formula1>
      <formula2>400</formula2>
    </dataValidation>
    <dataValidation type="whole" allowBlank="1" showInputMessage="1" showErrorMessage="1" error="This field only accepts whole numbers." prompt="enter bottom of range" sqref="C37:C48" xr:uid="{07035255-7B1C-4FE1-B536-51D88C10D27B}">
      <formula1>0</formula1>
      <formula2>400</formula2>
    </dataValidation>
    <dataValidation type="whole" allowBlank="1" showInputMessage="1" showErrorMessage="1" error="This field only accepts whole numbers." prompt="enter top of range" sqref="D37:D48" xr:uid="{54636F67-D5AB-485E-896C-A8E682EEED8E}">
      <formula1>0</formula1>
      <formula2>400</formula2>
    </dataValidation>
    <dataValidation type="whole" allowBlank="1" showInputMessage="1" showErrorMessage="1" error="This field only accepts whole numbers." prompt="number of people" sqref="C52" xr:uid="{F05D201E-0347-40BB-B64A-1775FC6FB091}">
      <formula1>0</formula1>
      <formula2>400</formula2>
    </dataValidation>
    <dataValidation allowBlank="1" showInputMessage="1" showErrorMessage="1" prompt="Please provide a response if an order was issued under S.22 of the HPPA." sqref="C25:E25" xr:uid="{F41CEFFD-4B12-44F6-9D01-2ECB1F09F64B}"/>
    <dataValidation allowBlank="1" showInputMessage="1" showErrorMessage="1" prompt="Please specify under what circumstances antivirals were administered for staff." sqref="C36:E36" xr:uid="{FF54D874-1B26-4D82-8F7A-60DC0736EB18}"/>
    <dataValidation allowBlank="1" showInputMessage="1" showErrorMessage="1" prompt="Please indicate the side effects." sqref="C54:E54" xr:uid="{23D5AC43-AED2-40AC-80BA-B5505E968CD4}"/>
    <dataValidation allowBlank="1" showInputMessage="1" showErrorMessage="1" prompt="Please state the reasons. " sqref="C56:E56" xr:uid="{D9A08F48-BFF1-4896-A351-0564E36FBAAA}"/>
  </dataValidations>
  <pageMargins left="0.7" right="0.7" top="0.75" bottom="0.75" header="0.3" footer="0.3"/>
  <pageSetup orientation="landscape" r:id="rId1"/>
  <rowBreaks count="1" manualBreakCount="1">
    <brk id="1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8" id="{F2E776AA-8E22-40C3-82B4-A5EBEDD797F3}">
            <xm:f>AND('Basic Information'!$B$14="   Influenza",ISBLANK(C21))</xm:f>
            <x14:dxf>
              <fill>
                <patternFill>
                  <bgColor theme="5" tint="0.59996337778862885"/>
                </patternFill>
              </fill>
            </x14:dxf>
          </x14:cfRule>
          <xm:sqref>C21 C23:C24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3985-54C0-4849-949C-2D1D6BB8C87B}">
  <sheetPr codeName="Sheet9">
    <tabColor theme="5" tint="-0.499984740745262"/>
  </sheetPr>
  <dimension ref="A1:A40"/>
  <sheetViews>
    <sheetView showGridLines="0" showRowColHeaders="0" workbookViewId="0"/>
  </sheetViews>
  <sheetFormatPr defaultRowHeight="14.4" x14ac:dyDescent="0.3"/>
  <cols>
    <col min="1" max="1" width="106.77734375" customWidth="1"/>
  </cols>
  <sheetData>
    <row r="1" spans="1:1" ht="5.0999999999999996" customHeight="1" x14ac:dyDescent="0.3">
      <c r="A1" s="84" t="s">
        <v>531</v>
      </c>
    </row>
    <row r="2" spans="1:1" ht="28.8" x14ac:dyDescent="0.3">
      <c r="A2" s="79" t="str">
        <f>"Report on Outbreak "&amp;Number&amp;CHAR(10)&amp;"Current to: "&amp;TEXT(Updated,"mmm d, yyyy")</f>
        <v>Report on Outbreak 
Current to: Jan 0, 1900</v>
      </c>
    </row>
    <row r="3" spans="1:1" ht="5.0999999999999996" customHeight="1" x14ac:dyDescent="0.3"/>
    <row r="4" spans="1:1" ht="25.8" x14ac:dyDescent="0.5">
      <c r="A4" s="80" t="str">
        <f>"Summary: "&amp;IF(ISBLANK(Name),"Enter Outbreak Name",Name)</f>
        <v>Summary: Enter Outbreak Name</v>
      </c>
    </row>
    <row r="5" spans="1:1" x14ac:dyDescent="0.3">
      <c r="A5" s="84" t="str">
        <f>IF(Reported=0,"Date reported not entered","Reported on "&amp;TEXT(Reported,"mmmm d, yyyy"))&amp;", "&amp;IF(Declared=0,"Date declared not entered","Declared on "&amp;TEXT(Declared,"mmmm y, yyyy"))&amp;", "&amp;IF(Over=0,"Still Active","Declared over on "&amp;TEXT(Over,"mmmm  d, yyyy"))</f>
        <v>Date reported not entered, Date declared not entered, Still Active</v>
      </c>
    </row>
    <row r="6" spans="1:1" x14ac:dyDescent="0.3">
      <c r="A6" s="84" t="str">
        <f>IF(MIN(LL[Sx Onset Date])=0,"No onset dates entered","Earliest symptom onset was on "&amp;TEXT(MIN(LL[Sx Onset Date]),"mmmm d, yyyy"))</f>
        <v>No onset dates entered</v>
      </c>
    </row>
    <row r="7" spans="1:1" x14ac:dyDescent="0.3">
      <c r="A7" s="84" t="str">
        <f>IF(Organism=0,"Organism not specified","Causative organism is "&amp;TRIM(Organism))</f>
        <v>Organism not specified</v>
      </c>
    </row>
    <row r="8" spans="1:1" x14ac:dyDescent="0.3">
      <c r="A8" s="84"/>
    </row>
    <row r="9" spans="1:1" x14ac:dyDescent="0.3">
      <c r="A9" s="84"/>
    </row>
    <row r="10" spans="1:1" x14ac:dyDescent="0.3">
      <c r="A10" s="84"/>
    </row>
    <row r="11" spans="1:1" x14ac:dyDescent="0.3">
      <c r="A11" s="84"/>
    </row>
    <row r="12" spans="1:1" x14ac:dyDescent="0.3">
      <c r="A12" s="84"/>
    </row>
    <row r="13" spans="1:1" x14ac:dyDescent="0.3">
      <c r="A13" s="84"/>
    </row>
    <row r="14" spans="1:1" x14ac:dyDescent="0.3">
      <c r="A14" s="84" t="str" cm="1">
        <f t="array" ref="A14">"Outbreak Management Team: "&amp;OutbreakManagementTeam[Outbreak Management Team]</f>
        <v xml:space="preserve">Outbreak Management Team: </v>
      </c>
    </row>
    <row r="15" spans="1:1" x14ac:dyDescent="0.3">
      <c r="A15" s="84" t="str">
        <f>"Susceptible population: "&amp;'Data Prep'!AU2&amp;", "&amp;'Data Prep'!AU3&amp;", "&amp;'Data Prep'!AU4&amp;", "&amp;'Data Prep'!AU5</f>
        <v>Susceptible population: Residents: 0, Staff: 0, TOTAL: 0, Others line listed: 0</v>
      </c>
    </row>
    <row r="22" spans="1:1" x14ac:dyDescent="0.3">
      <c r="A22" s="104" t="s">
        <v>533</v>
      </c>
    </row>
    <row r="23" spans="1:1" x14ac:dyDescent="0.3">
      <c r="A23" s="110"/>
    </row>
    <row r="24" spans="1:1" x14ac:dyDescent="0.3">
      <c r="A24" s="84" t="str">
        <f>'Data Prep'!K2</f>
        <v xml:space="preserve">What follows is an epidemiologic curve of the outbreak, with a total of 0 cases. The first case occurred  and the last case January 0. </v>
      </c>
    </row>
    <row r="40" spans="1:1" x14ac:dyDescent="0.3">
      <c r="A40" s="108" t="str">
        <f>"HRCC Involved: "&amp;COUNTIF(LL[Reason for Line Listing],"HRCC")</f>
        <v>HRCC Involved: 0</v>
      </c>
    </row>
  </sheetData>
  <sheetProtection sheet="1" objects="1" scenarios="1"/>
  <conditionalFormatting sqref="A23">
    <cfRule type="expression" dxfId="9" priority="1">
      <formula>ISBLANK(A23)</formula>
    </cfRule>
  </conditionalFormatting>
  <dataValidations count="1">
    <dataValidation allowBlank="1" showInputMessage="1" showErrorMessage="1" prompt="Include a basic narrative summary about the outbreak. This does not need to be exhaustive - most of the information will be captured elsewhere in this four-page report." sqref="A23" xr:uid="{A32BC4D2-9D9B-4373-A342-FFF2B8B80B6E}"/>
  </dataValidations>
  <pageMargins left="0.7" right="0.7" top="0.75" bottom="0.75" header="0.3" footer="0.3"/>
  <pageSetup orientation="portrait" r:id="rId1"/>
  <ignoredErrors>
    <ignoredError sqref="A2 A5" emptyCellReference="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C16FB-7739-4287-A226-65F63F33B94C}">
  <sheetPr codeName="Sheet10">
    <tabColor theme="5" tint="-0.499984740745262"/>
  </sheetPr>
  <dimension ref="A1:A28"/>
  <sheetViews>
    <sheetView showGridLines="0" showRowColHeaders="0" zoomScaleNormal="100" workbookViewId="0"/>
  </sheetViews>
  <sheetFormatPr defaultRowHeight="14.4" x14ac:dyDescent="0.3"/>
  <cols>
    <col min="1" max="1" width="106.77734375" customWidth="1"/>
  </cols>
  <sheetData>
    <row r="1" spans="1:1" ht="4.5" customHeight="1" x14ac:dyDescent="0.3">
      <c r="A1" s="84" t="s">
        <v>523</v>
      </c>
    </row>
    <row r="2" spans="1:1" ht="28.8" x14ac:dyDescent="0.3">
      <c r="A2" s="79" t="str">
        <f>"Report on Outbreak "&amp;Number&amp;CHAR(10)&amp;"Current to: "&amp;TEXT(Updated,"mmm d, yyyy")</f>
        <v>Report on Outbreak 
Current to: Jan 0, 1900</v>
      </c>
    </row>
    <row r="3" spans="1:1" ht="4.5" customHeight="1" x14ac:dyDescent="0.3"/>
    <row r="4" spans="1:1" x14ac:dyDescent="0.3">
      <c r="A4" s="104" t="s">
        <v>643</v>
      </c>
    </row>
    <row r="5" spans="1:1" x14ac:dyDescent="0.3">
      <c r="A5" s="110"/>
    </row>
    <row r="7" spans="1:1" x14ac:dyDescent="0.3">
      <c r="A7" s="104" t="s">
        <v>644</v>
      </c>
    </row>
    <row r="8" spans="1:1" x14ac:dyDescent="0.3">
      <c r="A8" s="110"/>
    </row>
    <row r="9" spans="1:1" x14ac:dyDescent="0.3">
      <c r="A9" s="84" t="str">
        <f>'Data Prep'!AN4</f>
        <v xml:space="preserve">What follows is an accounting of case counts, susceptible populations, and attack rates. The facility had a total of 0 cases among 0 susceptible, for an attack rate of 0 percent. There were no staff cases. There were no resident cases. There were no other cases. </v>
      </c>
    </row>
    <row r="24" spans="1:1" x14ac:dyDescent="0.3">
      <c r="A24" s="76" t="str">
        <f>"Total Hospitalizations: "&amp;COUNTIFS(LL[Reason for Line Listing],"Case",LL[Hospital Admission Date],"&gt;"&amp;0)</f>
        <v>Total Hospitalizations: 0</v>
      </c>
    </row>
    <row r="25" spans="1:1" x14ac:dyDescent="0.3">
      <c r="A25" s="76" t="str">
        <f>"Total ICU Admissions: "&amp;COUNTIFS(LL[Reason for Line Listing],"Case",LL[ICU Admission Date],"&gt;"&amp;0)</f>
        <v>Total ICU Admissions: 0</v>
      </c>
    </row>
    <row r="26" spans="1:1" x14ac:dyDescent="0.3">
      <c r="A26" s="76" t="str">
        <f>"Total Deaths: "&amp;COUNTIFS(LL[Reason for Line Listing],"Case",LL[Death Date],"&gt;"&amp;0)</f>
        <v>Total Deaths: 0</v>
      </c>
    </row>
    <row r="27" spans="1:1" x14ac:dyDescent="0.3">
      <c r="A27" s="147" t="str">
        <f>IF(ISBLANK(Organism),"No Disease Agent Specified",IF(_xlfn.XLOOKUP(Organism,Agent[Agent],Agent[Type])="Enteric","","Cases with Pneumonia: "&amp;COUNTIFS(LL[Reason for Line Listing],"Case",LL[XRAY Confirmed Pneumonia?],"Y")))</f>
        <v>No Disease Agent Specified</v>
      </c>
    </row>
    <row r="28" spans="1:1" x14ac:dyDescent="0.3">
      <c r="A28" s="84" t="str">
        <f>'Data Prep'!AV6</f>
        <v>There were no cases among vaccinated people.</v>
      </c>
    </row>
  </sheetData>
  <sheetProtection sheet="1" objects="1" scenarios="1"/>
  <conditionalFormatting sqref="A5">
    <cfRule type="expression" dxfId="8" priority="2">
      <formula>ISBLANK(A5)</formula>
    </cfRule>
  </conditionalFormatting>
  <conditionalFormatting sqref="A8">
    <cfRule type="expression" dxfId="7" priority="1">
      <formula>ISBLANK(A8)</formula>
    </cfRule>
  </conditionalFormatting>
  <dataValidations count="2">
    <dataValidation allowBlank="1" showInputMessage="1" showErrorMessage="1" prompt="Describe in words which areas of the facility were impacted by the outbreak. If the entire facility was affected, you can simply type N/A." sqref="A5" xr:uid="{AA45D5B7-F2C6-4AC9-A6A0-2CC9C6569C83}"/>
    <dataValidation allowBlank="1" showInputMessage="1" showErrorMessage="1" prompt="Describe how outbreak started and any details about the spread of illness through the facility: which areas were impacted first, how it spread from there, etc." sqref="A8" xr:uid="{E9B912A0-4495-4BBE-9929-6A8AB7235600}"/>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96C75-DA12-4D9D-9DEE-1220493064BA}">
  <sheetPr codeName="Sheet11">
    <tabColor theme="5" tint="-0.499984740745262"/>
  </sheetPr>
  <dimension ref="A1:A6"/>
  <sheetViews>
    <sheetView showGridLines="0" showRowColHeaders="0" workbookViewId="0"/>
  </sheetViews>
  <sheetFormatPr defaultRowHeight="14.4" x14ac:dyDescent="0.3"/>
  <cols>
    <col min="1" max="1" width="106.77734375" customWidth="1"/>
  </cols>
  <sheetData>
    <row r="1" spans="1:1" ht="4.5" customHeight="1" x14ac:dyDescent="0.3">
      <c r="A1" s="84" t="s">
        <v>524</v>
      </c>
    </row>
    <row r="2" spans="1:1" ht="28.8" x14ac:dyDescent="0.3">
      <c r="A2" s="112" t="s">
        <v>527</v>
      </c>
    </row>
    <row r="3" spans="1:1" ht="4.5" customHeight="1" x14ac:dyDescent="0.3"/>
    <row r="4" spans="1:1" x14ac:dyDescent="0.3">
      <c r="A4" s="104" t="s">
        <v>642</v>
      </c>
    </row>
    <row r="5" spans="1:1" x14ac:dyDescent="0.3">
      <c r="A5" s="110"/>
    </row>
    <row r="6" spans="1:1" x14ac:dyDescent="0.3">
      <c r="A6" s="84" t="str">
        <f ca="1">'Data Prep'!Y22</f>
        <v xml:space="preserve">What follows is an accounting of symptoms experienced by cases. There were 0 asymptomatic cases and 0 symptomatic cases. </v>
      </c>
    </row>
  </sheetData>
  <sheetProtection sheet="1" objects="1" scenarios="1"/>
  <conditionalFormatting sqref="A5">
    <cfRule type="expression" dxfId="6" priority="1">
      <formula>ISBLANK(A5)</formula>
    </cfRule>
  </conditionalFormatting>
  <dataValidations count="1">
    <dataValidation allowBlank="1" showInputMessage="1" showErrorMessage="1" prompt="Describe the information presented in the table and figure below, particularly if there was any noticeable pattern reported by the facility in the order of symptom development, duration, etc." sqref="A5" xr:uid="{EF1A1F8E-0588-4BCA-84E4-EC72E30BE737}"/>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FD02-9EE5-4674-99D0-E29D253C3BD7}">
  <sheetPr codeName="Sheet12">
    <tabColor theme="5" tint="-0.499984740745262"/>
  </sheetPr>
  <dimension ref="A1:A8"/>
  <sheetViews>
    <sheetView showGridLines="0" showRowColHeaders="0" workbookViewId="0"/>
  </sheetViews>
  <sheetFormatPr defaultRowHeight="14.4" x14ac:dyDescent="0.3"/>
  <cols>
    <col min="1" max="1" width="106.77734375" customWidth="1"/>
  </cols>
  <sheetData>
    <row r="1" spans="1:1" ht="4.5" customHeight="1" x14ac:dyDescent="0.3">
      <c r="A1" s="84" t="s">
        <v>525</v>
      </c>
    </row>
    <row r="2" spans="1:1" ht="28.8" x14ac:dyDescent="0.3">
      <c r="A2" s="112" t="s">
        <v>527</v>
      </c>
    </row>
    <row r="3" spans="1:1" ht="4.5" customHeight="1" x14ac:dyDescent="0.3"/>
    <row r="4" spans="1:1" x14ac:dyDescent="0.3">
      <c r="A4" s="104" t="s">
        <v>534</v>
      </c>
    </row>
    <row r="5" spans="1:1" x14ac:dyDescent="0.3">
      <c r="A5" s="110"/>
    </row>
    <row r="7" spans="1:1" x14ac:dyDescent="0.3">
      <c r="A7" s="104" t="s">
        <v>535</v>
      </c>
    </row>
    <row r="8" spans="1:1" x14ac:dyDescent="0.3">
      <c r="A8" s="110"/>
    </row>
  </sheetData>
  <sheetProtection sheet="1" objects="1" scenarios="1"/>
  <conditionalFormatting sqref="A5">
    <cfRule type="expression" dxfId="5" priority="2">
      <formula>ISBLANK(A5)</formula>
    </cfRule>
  </conditionalFormatting>
  <conditionalFormatting sqref="A8">
    <cfRule type="expression" dxfId="4" priority="1">
      <formula>ISBLANK(A8)</formula>
    </cfRule>
  </conditionalFormatting>
  <dataValidations count="2">
    <dataValidation allowBlank="1" showInputMessage="1" showErrorMessage="1" prompt="Any additional comments you might have about the outbreak response not covered in the OB checklist." sqref="A5" xr:uid="{FDBF7F8C-1F58-4910-9B82-9B9F511FC7E6}"/>
    <dataValidation allowBlank="1" showInputMessage="1" showErrorMessage="1" prompt="Your overall recommendations for improving the outbreak response and/or outcomes. Refer to the above checklist for areas which could benefit from improvement." sqref="A8" xr:uid="{FDAC24ED-E7CE-4D48-810F-F8F96A1D90A9}"/>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80FB-DE98-4FD8-A26D-3EC9AE8E0C97}">
  <sheetPr codeName="Sheet13"/>
  <dimension ref="A1:AV106"/>
  <sheetViews>
    <sheetView showGridLines="0" topLeftCell="AK1" workbookViewId="0">
      <selection activeCell="AV6" sqref="AV6"/>
    </sheetView>
  </sheetViews>
  <sheetFormatPr defaultRowHeight="14.4" x14ac:dyDescent="0.3"/>
  <cols>
    <col min="11" max="11" width="9.21875" style="145"/>
    <col min="13" max="13" width="46.21875" bestFit="1" customWidth="1"/>
    <col min="15" max="15" width="25.77734375" customWidth="1"/>
    <col min="16" max="16" width="9.77734375" customWidth="1"/>
    <col min="17" max="17" width="19.77734375" customWidth="1"/>
    <col min="18" max="18" width="9.5546875" customWidth="1"/>
    <col min="19" max="19" width="9.77734375" customWidth="1"/>
    <col min="20" max="20" width="11.77734375" customWidth="1"/>
    <col min="21" max="22" width="12.77734375" customWidth="1"/>
    <col min="23" max="23" width="14.77734375" customWidth="1"/>
    <col min="24" max="24" width="11.77734375" customWidth="1"/>
    <col min="25" max="25" width="13" customWidth="1"/>
    <col min="26" max="26" width="15.21875" customWidth="1"/>
    <col min="29" max="29" width="20.5546875" customWidth="1"/>
    <col min="30" max="32" width="8.5546875" customWidth="1"/>
    <col min="33" max="33" width="17.21875" customWidth="1"/>
    <col min="34" max="39" width="8.5546875" customWidth="1"/>
    <col min="42" max="43" width="9.5546875" customWidth="1"/>
    <col min="45" max="45" width="36.21875" bestFit="1" customWidth="1"/>
    <col min="46" max="46" width="29.77734375" bestFit="1" customWidth="1"/>
    <col min="47" max="47" width="21.21875" customWidth="1"/>
  </cols>
  <sheetData>
    <row r="1" spans="1:48" x14ac:dyDescent="0.3">
      <c r="A1" s="40" t="str">
        <f>Name&amp;" Epi Curve, Case Total = "&amp;COUNTIF(LL[Reason for Line Listing],"Case")</f>
        <v xml:space="preserve"> Epi Curve, Case Total = 0</v>
      </c>
      <c r="B1" s="40"/>
      <c r="C1" s="40"/>
      <c r="D1" s="40"/>
      <c r="E1" s="40"/>
      <c r="F1" s="40"/>
      <c r="G1" s="40"/>
      <c r="H1" s="40"/>
      <c r="I1" s="40"/>
      <c r="J1" s="39"/>
      <c r="K1" s="144"/>
      <c r="M1" s="41" t="str">
        <f>"Symptoms Experienced "&amp;CHAR(10)&amp;"("&amp;$N$2&amp;" Cases)"</f>
        <v>Symptoms Experienced 
(0 Cases)</v>
      </c>
      <c r="N1" s="41"/>
      <c r="O1" s="41"/>
      <c r="P1" s="41"/>
      <c r="Q1" s="41"/>
      <c r="R1" s="41"/>
      <c r="S1" s="41"/>
      <c r="T1" s="41"/>
      <c r="U1" s="41"/>
      <c r="V1" s="41"/>
      <c r="W1" s="41"/>
      <c r="X1" s="41"/>
      <c r="Y1" s="41"/>
      <c r="Z1" s="41"/>
      <c r="AA1" s="41"/>
      <c r="AC1" s="57" t="s">
        <v>431</v>
      </c>
      <c r="AD1" s="57"/>
      <c r="AE1" s="57"/>
      <c r="AF1" s="57"/>
      <c r="AG1" s="57"/>
      <c r="AH1" s="57"/>
      <c r="AI1" s="57"/>
      <c r="AJ1" s="57"/>
      <c r="AK1" s="57"/>
      <c r="AL1" s="57"/>
      <c r="AM1" s="57"/>
      <c r="AP1" s="57" t="s">
        <v>437</v>
      </c>
      <c r="AQ1" s="57"/>
      <c r="AS1" s="76" t="str">
        <f>"Causative Organism is "&amp;TRIM(Organism)</f>
        <v xml:space="preserve">Causative Organism is </v>
      </c>
      <c r="AU1" s="104" t="s">
        <v>485</v>
      </c>
    </row>
    <row r="2" spans="1:48" x14ac:dyDescent="0.3">
      <c r="K2" s="145" t="str">
        <f>K3&amp;K4&amp;K5&amp;K6&amp;K7&amp;K8&amp;K9&amp;K10&amp;K11&amp;K12&amp;K13&amp;K14&amp;K15&amp;K16&amp;K17&amp;K18&amp;K19&amp;K20&amp;K21&amp;K22&amp;K23&amp;K24&amp;K25&amp;K26&amp;K27&amp;K28&amp;K29&amp;K30&amp;K31&amp;K32&amp;K33&amp;K34&amp;K35&amp;K36&amp;K37&amp;K38&amp;K39&amp;K40&amp;K41&amp;K42&amp;K43&amp;K44&amp;K45&amp;K46&amp;K47&amp;K48&amp;K49&amp;K50&amp;K51&amp;K52&amp;K53&amp;K54&amp;K55&amp;K56&amp;K57&amp;K58&amp;K59&amp;K60&amp;K61&amp;K62&amp;K63&amp;K64&amp;K65&amp;K66&amp;K67&amp;K68&amp;K69&amp;K70&amp;K71&amp;K72&amp;K73&amp;K74&amp;K75&amp;K76&amp;K77&amp;K78&amp;K79&amp;K80&amp;K81&amp;K82&amp;K83&amp;K84&amp;K85&amp;K86&amp;K87&amp;K88&amp;K89&amp;K90&amp;K91&amp;K92&amp;K93&amp;K94&amp;K95&amp;K96&amp;K97&amp;K98&amp;K99&amp;K100&amp;K101&amp;K102&amp;K103&amp;K104&amp;K105&amp;K106</f>
        <v xml:space="preserve">What follows is an epidemiologic curve of the outbreak, with a total of 0 cases. The first case occurred  and the last case January 0. </v>
      </c>
      <c r="N2">
        <f>COUNTIFS(LL[Reason for Line Listing],"Case",LL[Asymptomatic?],"")</f>
        <v>0</v>
      </c>
      <c r="O2">
        <f>COUNTIFS(LL[Reason for Line Listing],"Case",LL[Asymptomatic?],"",LL[Sex],$O$3)</f>
        <v>0</v>
      </c>
      <c r="P2">
        <f>COUNTIFS(LL[Reason for Line Listing],"Case",LL[Asymptomatic?],"",LL[Sex],$P$3)</f>
        <v>0</v>
      </c>
      <c r="Q2">
        <f>N2-O2-P2</f>
        <v>0</v>
      </c>
      <c r="AS2" s="109" t="s">
        <v>450</v>
      </c>
      <c r="AU2" s="107" t="str">
        <f>"Residents: "&amp;AI6</f>
        <v>Residents: 0</v>
      </c>
    </row>
    <row r="3" spans="1:48" x14ac:dyDescent="0.3">
      <c r="A3" s="42" t="s">
        <v>408</v>
      </c>
      <c r="B3" s="42" t="s">
        <v>83</v>
      </c>
      <c r="C3" s="42" t="s">
        <v>84</v>
      </c>
      <c r="D3" s="42" t="s">
        <v>85</v>
      </c>
      <c r="E3" s="42" t="s">
        <v>86</v>
      </c>
      <c r="F3" s="42" t="s">
        <v>82</v>
      </c>
      <c r="G3" s="42" t="s">
        <v>87</v>
      </c>
      <c r="H3" s="42" t="s">
        <v>88</v>
      </c>
      <c r="I3" s="42" t="s">
        <v>89</v>
      </c>
      <c r="J3" s="42" t="s">
        <v>76</v>
      </c>
      <c r="K3" s="145" t="str">
        <f>"What follows is an epidemiologic curve of the outbreak, with a total of "&amp;SUM(B4:J106)&amp;" cases. The first case occurred "&amp;TEXT(A4,"mmmm d")&amp;" and the last case "&amp;TEXT(MAX(A4:A106),"mmmm d")&amp;". "</f>
        <v xml:space="preserve">What follows is an epidemiologic curve of the outbreak, with a total of 0 cases. The first case occurred  and the last case January 0. </v>
      </c>
      <c r="M3" s="42" t="s">
        <v>409</v>
      </c>
      <c r="N3" s="42" t="s">
        <v>410</v>
      </c>
      <c r="O3" s="42" t="s">
        <v>74</v>
      </c>
      <c r="P3" s="42" t="s">
        <v>75</v>
      </c>
      <c r="Q3" s="42" t="s">
        <v>411</v>
      </c>
      <c r="R3" s="42" t="s">
        <v>412</v>
      </c>
      <c r="S3" s="42" t="s">
        <v>413</v>
      </c>
      <c r="T3" s="42" t="s">
        <v>414</v>
      </c>
      <c r="U3" s="42" t="s">
        <v>415</v>
      </c>
      <c r="V3" s="42" t="s">
        <v>416</v>
      </c>
      <c r="W3" s="42" t="s">
        <v>417</v>
      </c>
      <c r="X3" s="42" t="s">
        <v>418</v>
      </c>
      <c r="Y3" s="42" t="s">
        <v>419</v>
      </c>
      <c r="Z3" s="42" t="s">
        <v>420</v>
      </c>
      <c r="AA3" s="42" t="s">
        <v>379</v>
      </c>
      <c r="AD3" s="58" t="s">
        <v>434</v>
      </c>
      <c r="AE3" s="59"/>
      <c r="AF3" s="59"/>
      <c r="AG3" s="59"/>
      <c r="AH3" s="61" t="s">
        <v>432</v>
      </c>
      <c r="AI3" s="61"/>
      <c r="AJ3" s="61"/>
      <c r="AK3" s="63" t="s">
        <v>433</v>
      </c>
      <c r="AL3" s="63"/>
      <c r="AM3" s="63"/>
      <c r="AP3" s="75" t="s">
        <v>438</v>
      </c>
      <c r="AQ3" s="75" t="s">
        <v>449</v>
      </c>
      <c r="AS3" s="82" t="str">
        <f>IFERROR(IF(_xlfn.XLOOKUP(Organism,Agent[Agent],Agent[Type])="COVID-19","Date of isolation +"&amp;_xlfn.XLOOKUP(Organism,Agent[Agent],Agent[Isolation Start])&amp;" days",IF(ISBLANK(_xlfn.XLOOKUP(Organism,Agent[Agent],Agent[Type])),"No organism entered","Date of isolation not considered")),"")</f>
        <v/>
      </c>
      <c r="AU3" s="107" t="str">
        <f>"Staff: "&amp;AH6</f>
        <v>Staff: 0</v>
      </c>
    </row>
    <row r="4" spans="1:48" x14ac:dyDescent="0.3">
      <c r="A4" s="106" t="str">
        <f>IF(MIN(LL[Day 0])=0,"",MIN(LL[Day 0]))</f>
        <v/>
      </c>
      <c r="B4" t="str">
        <f>IF($A4="","",COUNTIFS(LL[Reason for Line Listing],"Case",LL[Role],B$3,LL[Day 0],$A4))</f>
        <v/>
      </c>
      <c r="C4" t="str">
        <f>IF($A4="","",COUNTIFS(LL[Reason for Line Listing],"Case",LL[Role],C$3,LL[Day 0],$A4))</f>
        <v/>
      </c>
      <c r="D4" t="str">
        <f>IF($A4="","",COUNTIFS(LL[Reason for Line Listing],"Case",LL[Role],D$3,LL[Day 0],$A4))</f>
        <v/>
      </c>
      <c r="E4" t="str">
        <f>IF($A4="","",COUNTIFS(LL[Reason for Line Listing],"Case",LL[Role],E$3,LL[Day 0],$A4))</f>
        <v/>
      </c>
      <c r="F4" t="str">
        <f>IF($A4="","",COUNTIFS(LL[Reason for Line Listing],"Case",LL[Role],F$3,LL[Day 0],$A4))</f>
        <v/>
      </c>
      <c r="G4" t="str">
        <f>IF($A4="","",COUNTIFS(LL[Reason for Line Listing],"Case",LL[Role],G$3,LL[Day 0],$A4))</f>
        <v/>
      </c>
      <c r="H4" t="str">
        <f>IF($A4="","",COUNTIFS(LL[Reason for Line Listing],"Case",LL[Role],H$3,LL[Day 0],$A4))</f>
        <v/>
      </c>
      <c r="I4" t="str">
        <f>IF($A4="","",COUNTIFS(LL[Reason for Line Listing],"Case",LL[Role],I$3,LL[Day 0],$A4))</f>
        <v/>
      </c>
      <c r="J4" t="str">
        <f>IF($A4="","",COUNTIFS(LL[Reason for Line Listing],"Case",LL[Role],J$3,LL[Day 0],$A4))</f>
        <v/>
      </c>
      <c r="K4" s="145" t="str">
        <f>IF(SUM(B4:J4)=0,"","On "&amp;TEXT(A4,"mmmm d ")&amp;" there "&amp;IF(SUM(B4:J4)=1,"was 1 case. ","were "&amp;SUM(B4:J4)&amp;" cases. ")&amp;IF(B4=0,"",B4&amp;" among "&amp;B$3&amp;"s, ")&amp;IF(C4=0,"",C4&amp;" among "&amp;C$3&amp;"s, ")&amp;IF(D4=0,"",D4&amp;" among "&amp;D$3&amp;"s, ")&amp;IF(E4=0,"",E4&amp;" among "&amp;E$3&amp;"s, ")&amp;IF(F4=0,"",F4&amp;" among "&amp;F$3&amp;", ")&amp;IF(G4=0,"",G4&amp;" among "&amp;G$3&amp;"s, ")&amp;IF(H4=0,"",H4&amp;" among "&amp;H$3&amp;"s, ")&amp;IF(I4=0,"",I4&amp;" among "&amp;I$3&amp;"s, ")&amp;IF(J4=0,"",J4&amp;" among "&amp;J$3&amp;"s. "))</f>
        <v/>
      </c>
      <c r="M4" s="43" t="s">
        <v>421</v>
      </c>
      <c r="N4">
        <f ca="1">COUNTIFS(INDIRECT("LL["&amp;$M4&amp;"]"),"&lt;&gt;",LL[Reason for Line Listing],"Case")</f>
        <v>0</v>
      </c>
      <c r="O4">
        <f ca="1">COUNTIFS(INDIRECT("LL["&amp;$M4&amp;"]"),"&lt;&gt;",LL[Reason for Line Listing],"Case",LL[Sex],O$3)</f>
        <v>0</v>
      </c>
      <c r="P4">
        <f ca="1">COUNTIFS(INDIRECT("LL["&amp;$M4&amp;"]"),"&lt;&gt;",LL[Reason for Line Listing],"Case",LL[Sex],P$3)</f>
        <v>0</v>
      </c>
      <c r="Q4">
        <f ca="1">N4-O4-P4</f>
        <v>0</v>
      </c>
      <c r="R4" t="e">
        <f ca="1">N4/$N$2</f>
        <v>#DIV/0!</v>
      </c>
      <c r="S4" t="e">
        <f t="shared" ref="S4:T4" ca="1" si="0">O4/$N$2</f>
        <v>#DIV/0!</v>
      </c>
      <c r="T4" t="e">
        <f t="shared" ca="1" si="0"/>
        <v>#DIV/0!</v>
      </c>
      <c r="U4" t="e">
        <f ca="1">N4&amp;" ("&amp;ROUND(R4*100,0)&amp;"%)"</f>
        <v>#DIV/0!</v>
      </c>
      <c r="V4" t="e">
        <f ca="1">O4&amp;" ("&amp;ROUND(S4*100,0)&amp;"%)"</f>
        <v>#DIV/0!</v>
      </c>
      <c r="W4" t="e">
        <f ca="1">P4&amp;" ("&amp;ROUND(T4*100,0)&amp;"%)"</f>
        <v>#DIV/0!</v>
      </c>
      <c r="X4">
        <v>1</v>
      </c>
      <c r="Y4">
        <f ca="1">RANK(Symptoms[[#This Row],[Total]],Symptoms[Total],0)</f>
        <v>1</v>
      </c>
      <c r="Z4">
        <f ca="1">Symptoms[[#This Row],[Rank Order]]+COUNTIF(Symptoms[Rank Order],Symptoms[[#This Row],[Rank Order]])-COUNTIF(Y$4:Y4,Symptoms[[#This Row],[Rank Order]])</f>
        <v>17</v>
      </c>
      <c r="AA4" t="s">
        <v>423</v>
      </c>
      <c r="AD4" s="60"/>
      <c r="AE4" s="60"/>
      <c r="AF4" s="60"/>
      <c r="AG4" s="60"/>
      <c r="AH4" s="62" t="s">
        <v>435</v>
      </c>
      <c r="AI4" s="61"/>
      <c r="AJ4" s="61"/>
      <c r="AK4" s="64" t="s">
        <v>436</v>
      </c>
      <c r="AL4" s="64"/>
      <c r="AM4" s="63"/>
      <c r="AN4" t="str">
        <f>AN5&amp;AN6&amp;AN7&amp;AN8&amp;AN9&amp;AN10&amp;AN11&amp;AN12&amp;AN13&amp;AN14&amp;AN15&amp;AN16&amp;AN17&amp;AN18&amp;AN19&amp;AN20&amp;AN21&amp;AN22&amp;AN23&amp;AN24&amp;AN25&amp;AN26&amp;AN27&amp;AN28&amp;AN29</f>
        <v xml:space="preserve">What follows is an accounting of case counts, susceptible populations, and attack rates. The facility had a total of 0 cases among 0 susceptible, for an attack rate of 0 percent. There were no staff cases. There were no resident cases. There were no other cases. </v>
      </c>
      <c r="AP4" s="73" t="s">
        <v>439</v>
      </c>
      <c r="AQ4" s="73">
        <f>COUNTIFS(LL[Reason for Line Listing],"Case",LL[Age],"&lt;"&amp;20)</f>
        <v>0</v>
      </c>
      <c r="AS4" s="82" t="str">
        <f>IFERROR(IF(_xlfn.XLOOKUP(Organism,Agent[Agent],Agent[Type])="Enteric","Date of last shift worked not considered","Date of last shift worked +"&amp;_xlfn.XLOOKUP(Organism,Agent[Agent],Agent[LDW])&amp;" days"),"")</f>
        <v/>
      </c>
      <c r="AU4" s="107" t="str">
        <f>"TOTAL: "&amp;AJ6</f>
        <v>TOTAL: 0</v>
      </c>
    </row>
    <row r="5" spans="1:48" x14ac:dyDescent="0.3">
      <c r="A5" s="106" t="str">
        <f>IF(A4="","",IF(A4=MAX(LL[Day 0]),"",A4+1))</f>
        <v/>
      </c>
      <c r="B5" t="str">
        <f>IF($A5="","",COUNTIFS(LL[Reason for Line Listing],"Case",LL[Role],B$3,LL[Day 0],$A5))</f>
        <v/>
      </c>
      <c r="C5" t="str">
        <f>IF($A5="","",COUNTIFS(LL[Reason for Line Listing],"Case",LL[Role],C$3,LL[Day 0],$A5))</f>
        <v/>
      </c>
      <c r="D5" t="str">
        <f>IF($A5="","",COUNTIFS(LL[Reason for Line Listing],"Case",LL[Role],D$3,LL[Day 0],$A5))</f>
        <v/>
      </c>
      <c r="E5" t="str">
        <f>IF($A5="","",COUNTIFS(LL[Reason for Line Listing],"Case",LL[Role],E$3,LL[Day 0],$A5))</f>
        <v/>
      </c>
      <c r="F5" t="str">
        <f>IF($A5="","",COUNTIFS(LL[Reason for Line Listing],"Case",LL[Role],F$3,LL[Day 0],$A5))</f>
        <v/>
      </c>
      <c r="G5" t="str">
        <f>IF($A5="","",COUNTIFS(LL[Reason for Line Listing],"Case",LL[Role],G$3,LL[Day 0],$A5))</f>
        <v/>
      </c>
      <c r="H5" t="str">
        <f>IF($A5="","",COUNTIFS(LL[Reason for Line Listing],"Case",LL[Role],H$3,LL[Day 0],$A5))</f>
        <v/>
      </c>
      <c r="I5" t="str">
        <f>IF($A5="","",COUNTIFS(LL[Reason for Line Listing],"Case",LL[Role],I$3,LL[Day 0],$A5))</f>
        <v/>
      </c>
      <c r="J5" t="str">
        <f>IF($A5="","",COUNTIFS(LL[Reason for Line Listing],"Case",LL[Role],J$3,LL[Day 0],$A5))</f>
        <v/>
      </c>
      <c r="K5" s="145" t="str">
        <f t="shared" ref="K5:K68" si="1">IF(SUM(B5:J5)=0,"","On "&amp;TEXT(A5,"mmmm d ")&amp;" there "&amp;IF(SUM(B5:J5)=1,"was 1 case. ","were "&amp;SUM(B5:J5)&amp;" cases. ")&amp;IF(B5=0,"",B5&amp;" among "&amp;B$3&amp;"s, ")&amp;IF(C5=0,"",C5&amp;" among "&amp;C$3&amp;"s, ")&amp;IF(D5=0,"",D5&amp;" among "&amp;D$3&amp;"s, ")&amp;IF(E5=0,"",E5&amp;" among "&amp;E$3&amp;"s, ")&amp;IF(F5=0,"",F5&amp;" among "&amp;F$3&amp;", ")&amp;IF(G5=0,"",G5&amp;" among "&amp;G$3&amp;"s, ")&amp;IF(H5=0,"",H5&amp;" among "&amp;H$3&amp;"s, ")&amp;IF(I5=0,"",I5&amp;" among "&amp;I$3&amp;"s, ")&amp;IF(J5=0,"",J5&amp;" among "&amp;J$3&amp;"s. "))</f>
        <v/>
      </c>
      <c r="M5" s="43" t="s">
        <v>707</v>
      </c>
      <c r="N5">
        <f ca="1">COUNTIFS(INDIRECT("LL["&amp;$M5&amp;"]"),"&lt;&gt;",LL[Reason for Line Listing],"Case")</f>
        <v>0</v>
      </c>
      <c r="O5">
        <f ca="1">COUNTIFS(INDIRECT("LL["&amp;$M5&amp;"]"),"&lt;&gt;",LL[Reason for Line Listing],"Case",LL[Sex],O$3)</f>
        <v>0</v>
      </c>
      <c r="P5">
        <f ca="1">COUNTIFS(INDIRECT("LL["&amp;$M5&amp;"]"),"&lt;&gt;",LL[Reason for Line Listing],"Case",LL[Sex],P$3)</f>
        <v>0</v>
      </c>
      <c r="Q5">
        <f t="shared" ref="Q5:Q20" ca="1" si="2">N5-O5-P5</f>
        <v>0</v>
      </c>
      <c r="R5" t="e">
        <f t="shared" ref="R5:R20" ca="1" si="3">N5/$N$2</f>
        <v>#DIV/0!</v>
      </c>
      <c r="S5" t="e">
        <f t="shared" ref="S5:S20" ca="1" si="4">O5/$N$2</f>
        <v>#DIV/0!</v>
      </c>
      <c r="T5" t="e">
        <f t="shared" ref="T5:T20" ca="1" si="5">P5/$N$2</f>
        <v>#DIV/0!</v>
      </c>
      <c r="U5" t="e">
        <f t="shared" ref="U5:U20" ca="1" si="6">N5&amp;" ("&amp;ROUND(R5*100,0)&amp;"%)"</f>
        <v>#DIV/0!</v>
      </c>
      <c r="V5" t="e">
        <f t="shared" ref="V5:V20" ca="1" si="7">O5&amp;" ("&amp;ROUND(S5*100,0)&amp;"%)"</f>
        <v>#DIV/0!</v>
      </c>
      <c r="W5" t="e">
        <f t="shared" ref="W5:W20" ca="1" si="8">P5&amp;" ("&amp;ROUND(T5*100,0)&amp;"%)"</f>
        <v>#DIV/0!</v>
      </c>
      <c r="X5">
        <v>2</v>
      </c>
      <c r="Y5">
        <f ca="1">RANK(Symptoms[[#This Row],[Total]],Symptoms[Total],0)</f>
        <v>1</v>
      </c>
      <c r="Z5">
        <f ca="1">Symptoms[[#This Row],[Rank Order]]+COUNTIF(Symptoms[Rank Order],Symptoms[[#This Row],[Rank Order]])-COUNTIF(Y$4:Y5,Symptoms[[#This Row],[Rank Order]])</f>
        <v>16</v>
      </c>
      <c r="AA5" t="s">
        <v>423</v>
      </c>
      <c r="AC5" s="65" t="s">
        <v>15</v>
      </c>
      <c r="AD5" s="66" t="s">
        <v>82</v>
      </c>
      <c r="AE5" s="66" t="s">
        <v>86</v>
      </c>
      <c r="AF5" s="66" t="s">
        <v>76</v>
      </c>
      <c r="AG5" s="66" t="s">
        <v>410</v>
      </c>
      <c r="AH5" s="67" t="s">
        <v>82</v>
      </c>
      <c r="AI5" s="67" t="s">
        <v>86</v>
      </c>
      <c r="AJ5" s="67" t="s">
        <v>410</v>
      </c>
      <c r="AK5" s="68" t="s">
        <v>82</v>
      </c>
      <c r="AL5" s="68" t="s">
        <v>86</v>
      </c>
      <c r="AM5" s="68" t="s">
        <v>410</v>
      </c>
      <c r="AN5" t="s">
        <v>536</v>
      </c>
      <c r="AP5" s="74" t="s">
        <v>440</v>
      </c>
      <c r="AQ5" s="73">
        <f>COUNTIFS(LL[Reason for Line Listing],"Case",LL[Age],"&gt;="&amp;20,LL[Age],"&lt;"&amp;30)</f>
        <v>0</v>
      </c>
      <c r="AS5" t="str">
        <f>IF(AND(Affected="Entire Facility",TRIM(Organism)="C. difficile"),"Latest date of resident day 0 + 28 days","")</f>
        <v/>
      </c>
      <c r="AU5" s="107" t="str">
        <f>"Others line listed: "&amp;COUNTA(LL[Name])-COUNTIF(LL[Role],"Resident")-COUNTIF(LL[Role],"Staff")</f>
        <v>Others line listed: 0</v>
      </c>
    </row>
    <row r="6" spans="1:48" x14ac:dyDescent="0.3">
      <c r="A6" s="106" t="str">
        <f>IF(A5="","",IF(A5=MAX(LL[Day 0]),"",A5+1))</f>
        <v/>
      </c>
      <c r="B6" t="str">
        <f>IF($A6="","",COUNTIFS(LL[Reason for Line Listing],"Case",LL[Role],B$3,LL[Day 0],$A6))</f>
        <v/>
      </c>
      <c r="C6" t="str">
        <f>IF($A6="","",COUNTIFS(LL[Reason for Line Listing],"Case",LL[Role],C$3,LL[Day 0],$A6))</f>
        <v/>
      </c>
      <c r="D6" t="str">
        <f>IF($A6="","",COUNTIFS(LL[Reason for Line Listing],"Case",LL[Role],D$3,LL[Day 0],$A6))</f>
        <v/>
      </c>
      <c r="E6" t="str">
        <f>IF($A6="","",COUNTIFS(LL[Reason for Line Listing],"Case",LL[Role],E$3,LL[Day 0],$A6))</f>
        <v/>
      </c>
      <c r="F6" t="str">
        <f>IF($A6="","",COUNTIFS(LL[Reason for Line Listing],"Case",LL[Role],F$3,LL[Day 0],$A6))</f>
        <v/>
      </c>
      <c r="G6" t="str">
        <f>IF($A6="","",COUNTIFS(LL[Reason for Line Listing],"Case",LL[Role],G$3,LL[Day 0],$A6))</f>
        <v/>
      </c>
      <c r="H6" t="str">
        <f>IF($A6="","",COUNTIFS(LL[Reason for Line Listing],"Case",LL[Role],H$3,LL[Day 0],$A6))</f>
        <v/>
      </c>
      <c r="I6" t="str">
        <f>IF($A6="","",COUNTIFS(LL[Reason for Line Listing],"Case",LL[Role],I$3,LL[Day 0],$A6))</f>
        <v/>
      </c>
      <c r="J6" t="str">
        <f>IF($A6="","",COUNTIFS(LL[Reason for Line Listing],"Case",LL[Role],J$3,LL[Day 0],$A6))</f>
        <v/>
      </c>
      <c r="K6" s="145" t="str">
        <f t="shared" si="1"/>
        <v/>
      </c>
      <c r="M6" s="43" t="s">
        <v>47</v>
      </c>
      <c r="N6">
        <f ca="1">COUNTIFS(INDIRECT("LL["&amp;$M6&amp;"]"),"&lt;&gt;",LL[Reason for Line Listing],"Case")</f>
        <v>0</v>
      </c>
      <c r="O6">
        <f ca="1">COUNTIFS(INDIRECT("LL["&amp;$M6&amp;"]"),"&lt;&gt;",LL[Reason for Line Listing],"Case",LL[Sex],O$3)</f>
        <v>0</v>
      </c>
      <c r="P6">
        <f ca="1">COUNTIFS(INDIRECT("LL["&amp;$M6&amp;"]"),"&lt;&gt;",LL[Reason for Line Listing],"Case",LL[Sex],P$3)</f>
        <v>0</v>
      </c>
      <c r="Q6">
        <f t="shared" ca="1" si="2"/>
        <v>0</v>
      </c>
      <c r="R6" t="e">
        <f t="shared" ca="1" si="3"/>
        <v>#DIV/0!</v>
      </c>
      <c r="S6" t="e">
        <f t="shared" ca="1" si="4"/>
        <v>#DIV/0!</v>
      </c>
      <c r="T6" t="e">
        <f t="shared" ca="1" si="5"/>
        <v>#DIV/0!</v>
      </c>
      <c r="U6" t="e">
        <f t="shared" ca="1" si="6"/>
        <v>#DIV/0!</v>
      </c>
      <c r="V6" t="e">
        <f t="shared" ca="1" si="7"/>
        <v>#DIV/0!</v>
      </c>
      <c r="W6" t="e">
        <f t="shared" ca="1" si="8"/>
        <v>#DIV/0!</v>
      </c>
      <c r="X6">
        <v>3</v>
      </c>
      <c r="Y6">
        <f ca="1">RANK(Symptoms[[#This Row],[Total]],Symptoms[Total],0)</f>
        <v>1</v>
      </c>
      <c r="Z6">
        <f ca="1">Symptoms[[#This Row],[Rank Order]]+COUNTIF(Symptoms[Rank Order],Symptoms[[#This Row],[Rank Order]])-COUNTIF(Y$4:Y6,Symptoms[[#This Row],[Rank Order]])</f>
        <v>15</v>
      </c>
      <c r="AA6" t="s">
        <v>423</v>
      </c>
      <c r="AC6" s="69" t="s">
        <v>217</v>
      </c>
      <c r="AD6" s="70">
        <f>COUNTIFS(LL[Reason for Line Listing],"Case",LL[Role],AD$5)</f>
        <v>0</v>
      </c>
      <c r="AE6" s="70">
        <f>COUNTIFS(LL[Reason for Line Listing],"Case",LL[Role],AE$5)</f>
        <v>0</v>
      </c>
      <c r="AF6" s="70">
        <f>AG6-AE6-AD6</f>
        <v>0</v>
      </c>
      <c r="AG6" s="70">
        <f>COUNTIF(LL[Reason for Line Listing],"Case")</f>
        <v>0</v>
      </c>
      <c r="AH6" s="71" cm="1">
        <f t="array" ref="AH6">Facility[Staff (Vaccinated)]+Facility[Staff (Not vaccinated / unknown)]</f>
        <v>0</v>
      </c>
      <c r="AI6" s="71" cm="1">
        <f t="array" ref="AI6">Facility[Residents (Not vaccinated or unknown)]+Facility[Residents (Vaccinated)]</f>
        <v>0</v>
      </c>
      <c r="AJ6" s="71">
        <f>AH6+AI6</f>
        <v>0</v>
      </c>
      <c r="AK6" s="176">
        <f>IF(AD6=0,0,IF(AH6=0,0,AD6/AH6))</f>
        <v>0</v>
      </c>
      <c r="AL6" s="176">
        <f>IF(AE6=0,0,IF(AI6=0,0,AE6/AI6))</f>
        <v>0</v>
      </c>
      <c r="AM6" s="176">
        <f>IF(AD6+AE6=0,0,IF(AJ6=0,0,(AD6+AE6)/AJ6))</f>
        <v>0</v>
      </c>
      <c r="AN6" t="str">
        <f>"The facility had a total of "&amp;IF(AG6=1,"1 case among ",AG6&amp;" cases among ")&amp;AJ6&amp;" susceptible, for an attack rate of "&amp;ROUND(AM6*100,1)&amp;" percent. "&amp;IF(AD6=0,"There were no staff cases. ","Staff experienced "&amp;IF(AD6=1,"1 case among",AD6&amp;" cases among ")&amp;AH6&amp;" susceptible, for an attack rate of "&amp;ROUND(AK6*100,1)&amp;" percent. ")&amp;IF(AE6=0,"There were no resident cases. ","Residents experienced "&amp;IF(AE6=1,"1 case among",AE6&amp;" cases among ")&amp;AI6&amp;" susceptible, for an attack rate of "&amp;ROUND(AL6*100,1)&amp;" percent. ")&amp;IF(AF6=0,"There were no other cases. ","Others experienced "&amp;IF(AF6=1,"1 case among",AF6&amp;" cases.  ")&amp;"Attack rates are not calculated for non-staff, non-resident cases. ")</f>
        <v xml:space="preserve">The facility had a total of 0 cases among 0 susceptible, for an attack rate of 0 percent. There were no staff cases. There were no resident cases. There were no other cases. </v>
      </c>
      <c r="AP6" s="73" t="s">
        <v>441</v>
      </c>
      <c r="AQ6" s="73">
        <f>COUNTIFS(LL[Reason for Line Listing],"Case",LL[Age],"&gt;="&amp;30,LL[Age],"&lt;"&amp;40)</f>
        <v>0</v>
      </c>
      <c r="AS6" s="76" t="str">
        <f>IF(ISBLANK(Organism),"Select Causative Organism on Basic Information Sheet",IF(_xlfn.MAXIFS(#REF!,LL[Reason for Line Listing],"Case")=0,"Enter Day 0 Data for Cases","Potential Date Declared Over: "&amp;TEXT(MAX($AS$12:$AS$14),"mmm d, yyyy")))</f>
        <v>Select Causative Organism on Basic Information Sheet</v>
      </c>
      <c r="AU6" s="82"/>
      <c r="AV6" t="str">
        <f>AV7&amp;AV8&amp;AV9&amp;AV12&amp;AV13&amp;AV14&amp;AV15&amp;AV16&amp;AV17&amp;AV18&amp;AV19&amp;AV20&amp;AV21&amp;AV22&amp;AV23&amp;AV24&amp;AV25&amp;AV26&amp;AV27&amp;AV28&amp;AV29&amp;AV30&amp;AV31&amp;AV32&amp;AV33&amp;AV34</f>
        <v>There were no cases among vaccinated people.</v>
      </c>
    </row>
    <row r="7" spans="1:48" x14ac:dyDescent="0.3">
      <c r="A7" s="106" t="str">
        <f>IF(A6="","",IF(A6=MAX(LL[Day 0]),"",A6+1))</f>
        <v/>
      </c>
      <c r="B7" t="str">
        <f>IF($A7="","",COUNTIFS(LL[Reason for Line Listing],"Case",LL[Role],B$3,LL[Day 0],$A7))</f>
        <v/>
      </c>
      <c r="C7" t="str">
        <f>IF($A7="","",COUNTIFS(LL[Reason for Line Listing],"Case",LL[Role],C$3,LL[Day 0],$A7))</f>
        <v/>
      </c>
      <c r="D7" t="str">
        <f>IF($A7="","",COUNTIFS(LL[Reason for Line Listing],"Case",LL[Role],D$3,LL[Day 0],$A7))</f>
        <v/>
      </c>
      <c r="E7" t="str">
        <f>IF($A7="","",COUNTIFS(LL[Reason for Line Listing],"Case",LL[Role],E$3,LL[Day 0],$A7))</f>
        <v/>
      </c>
      <c r="F7" t="str">
        <f>IF($A7="","",COUNTIFS(LL[Reason for Line Listing],"Case",LL[Role],F$3,LL[Day 0],$A7))</f>
        <v/>
      </c>
      <c r="G7" t="str">
        <f>IF($A7="","",COUNTIFS(LL[Reason for Line Listing],"Case",LL[Role],G$3,LL[Day 0],$A7))</f>
        <v/>
      </c>
      <c r="H7" t="str">
        <f>IF($A7="","",COUNTIFS(LL[Reason for Line Listing],"Case",LL[Role],H$3,LL[Day 0],$A7))</f>
        <v/>
      </c>
      <c r="I7" t="str">
        <f>IF($A7="","",COUNTIFS(LL[Reason for Line Listing],"Case",LL[Role],I$3,LL[Day 0],$A7))</f>
        <v/>
      </c>
      <c r="J7" t="str">
        <f>IF($A7="","",COUNTIFS(LL[Reason for Line Listing],"Case",LL[Role],J$3,LL[Day 0],$A7))</f>
        <v/>
      </c>
      <c r="K7" s="145" t="str">
        <f t="shared" si="1"/>
        <v/>
      </c>
      <c r="M7" s="43" t="s">
        <v>37</v>
      </c>
      <c r="N7">
        <f ca="1">COUNTIFS(INDIRECT("LL["&amp;$M7&amp;"]"),"&lt;&gt;",LL[Reason for Line Listing],"Case")</f>
        <v>0</v>
      </c>
      <c r="O7">
        <f ca="1">COUNTIFS(INDIRECT("LL["&amp;$M7&amp;"]"),"&lt;&gt;",LL[Reason for Line Listing],"Case",LL[Sex],O$3)</f>
        <v>0</v>
      </c>
      <c r="P7">
        <f ca="1">COUNTIFS(INDIRECT("LL["&amp;$M7&amp;"]"),"&lt;&gt;",LL[Reason for Line Listing],"Case",LL[Sex],P$3)</f>
        <v>0</v>
      </c>
      <c r="Q7">
        <f t="shared" ca="1" si="2"/>
        <v>0</v>
      </c>
      <c r="R7" t="e">
        <f t="shared" ca="1" si="3"/>
        <v>#DIV/0!</v>
      </c>
      <c r="S7" t="e">
        <f t="shared" ca="1" si="4"/>
        <v>#DIV/0!</v>
      </c>
      <c r="T7" t="e">
        <f t="shared" ca="1" si="5"/>
        <v>#DIV/0!</v>
      </c>
      <c r="U7" t="e">
        <f t="shared" ca="1" si="6"/>
        <v>#DIV/0!</v>
      </c>
      <c r="V7" t="e">
        <f t="shared" ca="1" si="7"/>
        <v>#DIV/0!</v>
      </c>
      <c r="W7" t="e">
        <f t="shared" ca="1" si="8"/>
        <v>#DIV/0!</v>
      </c>
      <c r="X7">
        <v>4</v>
      </c>
      <c r="Y7">
        <f ca="1">RANK(Symptoms[[#This Row],[Total]],Symptoms[Total],0)</f>
        <v>1</v>
      </c>
      <c r="Z7">
        <f ca="1">Symptoms[[#This Row],[Rank Order]]+COUNTIF(Symptoms[Rank Order],Symptoms[[#This Row],[Rank Order]])-COUNTIF(Y$4:Y7,Symptoms[[#This Row],[Rank Order]])</f>
        <v>14</v>
      </c>
      <c r="AA7" t="s">
        <v>423</v>
      </c>
      <c r="AC7" t="str">
        <f>IF('Basic Information'!A29=0,"",'Basic Information'!A29)</f>
        <v/>
      </c>
      <c r="AD7" t="str">
        <f>IF($AC7="","",COUNTIFS(LL[Reason for Line Listing],"Case",LL[Role],AD$5,LL[Area],$AC7))</f>
        <v/>
      </c>
      <c r="AE7" t="str">
        <f>IF($AC7="","",COUNTIFS(LL[Reason for Line Listing],"Case",LL[Role],AE$5,LL[Area],$AC7))</f>
        <v/>
      </c>
      <c r="AF7" t="str">
        <f>IF($AC7="","",AG7-AE7-AD7)</f>
        <v/>
      </c>
      <c r="AG7" t="str">
        <f>IF($AC7="","",COUNTIFS(LL[Reason for Line Listing],"Case",LL[Area],$AC7))</f>
        <v/>
      </c>
      <c r="AH7" t="str">
        <f>IFERROR(_xlfn.XLOOKUP($AC7,SpecificArea[Specific Area],SpecificArea[Staff (Vaccinated)])+_xlfn.XLOOKUP($AC7,SpecificArea[Specific Area],SpecificArea[Staff (Not vaccinated / unknown)]),"")</f>
        <v/>
      </c>
      <c r="AI7" t="str">
        <f>IFERROR(_xlfn.XLOOKUP($AC7,SpecificArea[Specific Area],SpecificArea[Residents (Vaccinated)])+_xlfn.XLOOKUP($AC7,SpecificArea[Specific Area],SpecificArea[Residents (Not vaccinated or unknown)]),"")</f>
        <v/>
      </c>
      <c r="AJ7" t="str">
        <f>IF($AC7="","",AI7+AH7)</f>
        <v/>
      </c>
      <c r="AK7" s="141" t="str">
        <f>IFERROR(AD7/AH7,"")</f>
        <v/>
      </c>
      <c r="AL7" s="141" t="str">
        <f>IFERROR(AE7/AI7,"")</f>
        <v/>
      </c>
      <c r="AM7" s="141" t="str">
        <f>IFERROR((AD7+AE7)/AJ7,"")</f>
        <v/>
      </c>
      <c r="AN7" t="str">
        <f>IF(AC7="","","The "&amp;AC7&amp;" had a total of "&amp;IF(AG7=1,"1 case among ",AG7&amp;" cases among ")&amp;AJ7&amp;" susceptible, for an attack rate of "&amp;ROUND(AM7*100,1)&amp;" percent. "&amp;IF(AD7=0,"There were no staff cases. ","Staff experienced "&amp;IF(AD7=1,"1 case among",AD7&amp;" cases among ")&amp;AH7&amp;" susceptible, for an attack rate of "&amp;ROUND(AK7*100,1)&amp;" percent. ")&amp;IF(AE7=0,"There were no resident cases. ","Residents experienced "&amp;IF(AE7=1,"1 case among",AE7&amp;" cases among ")&amp;AI7&amp;" susceptible, for an attack rate of "&amp;ROUND(AL7*100,1)&amp;" percent. ")&amp;IF(AF7=0,"There were no other cases. ","Others experienced "&amp;IF(AF7=1,"1 case among",AF7&amp;" cases.  ")))</f>
        <v/>
      </c>
      <c r="AP7" s="73" t="s">
        <v>442</v>
      </c>
      <c r="AQ7" s="73">
        <f>COUNTIFS(LL[Reason for Line Listing],"Case",LL[Age],"&gt;="&amp;40,LL[Age],"&lt;"&amp;50)</f>
        <v>0</v>
      </c>
      <c r="AU7" s="111" t="s">
        <v>486</v>
      </c>
      <c r="AV7" t="str">
        <f>IF(COUNTIFS(LL[Vaccinated - COVID],"Y",LL[Reason for Line Listing],"Case")=0,"There were no cases among vaccinated people.","Cases among vaccinated people numbered "&amp;COUNTIFS(LL[Vaccinated - COVID],"Y",LL[Reason for Line Listing],"Case")&amp;" in total. ")</f>
        <v>There were no cases among vaccinated people.</v>
      </c>
    </row>
    <row r="8" spans="1:48" x14ac:dyDescent="0.3">
      <c r="A8" s="106" t="str">
        <f>IF(A7="","",IF(A7=MAX(LL[Day 0]),"",A7+1))</f>
        <v/>
      </c>
      <c r="B8" t="str">
        <f>IF($A8="","",COUNTIFS(LL[Reason for Line Listing],"Case",LL[Role],B$3,LL[Day 0],$A8))</f>
        <v/>
      </c>
      <c r="C8" t="str">
        <f>IF($A8="","",COUNTIFS(LL[Reason for Line Listing],"Case",LL[Role],C$3,LL[Day 0],$A8))</f>
        <v/>
      </c>
      <c r="D8" t="str">
        <f>IF($A8="","",COUNTIFS(LL[Reason for Line Listing],"Case",LL[Role],D$3,LL[Day 0],$A8))</f>
        <v/>
      </c>
      <c r="E8" t="str">
        <f>IF($A8="","",COUNTIFS(LL[Reason for Line Listing],"Case",LL[Role],E$3,LL[Day 0],$A8))</f>
        <v/>
      </c>
      <c r="F8" t="str">
        <f>IF($A8="","",COUNTIFS(LL[Reason for Line Listing],"Case",LL[Role],F$3,LL[Day 0],$A8))</f>
        <v/>
      </c>
      <c r="G8" t="str">
        <f>IF($A8="","",COUNTIFS(LL[Reason for Line Listing],"Case",LL[Role],G$3,LL[Day 0],$A8))</f>
        <v/>
      </c>
      <c r="H8" t="str">
        <f>IF($A8="","",COUNTIFS(LL[Reason for Line Listing],"Case",LL[Role],H$3,LL[Day 0],$A8))</f>
        <v/>
      </c>
      <c r="I8" t="str">
        <f>IF($A8="","",COUNTIFS(LL[Reason for Line Listing],"Case",LL[Role],I$3,LL[Day 0],$A8))</f>
        <v/>
      </c>
      <c r="J8" t="str">
        <f>IF($A8="","",COUNTIFS(LL[Reason for Line Listing],"Case",LL[Role],J$3,LL[Day 0],$A8))</f>
        <v/>
      </c>
      <c r="K8" s="145" t="str">
        <f t="shared" si="1"/>
        <v/>
      </c>
      <c r="M8" s="43" t="s">
        <v>38</v>
      </c>
      <c r="N8">
        <f ca="1">COUNTIFS(INDIRECT("LL["&amp;$M8&amp;"]"),"&lt;&gt;",LL[Reason for Line Listing],"Case")</f>
        <v>0</v>
      </c>
      <c r="O8">
        <f ca="1">COUNTIFS(INDIRECT("LL["&amp;$M8&amp;"]"),"&lt;&gt;",LL[Reason for Line Listing],"Case",LL[Sex],O$3)</f>
        <v>0</v>
      </c>
      <c r="P8">
        <f ca="1">COUNTIFS(INDIRECT("LL["&amp;$M8&amp;"]"),"&lt;&gt;",LL[Reason for Line Listing],"Case",LL[Sex],P$3)</f>
        <v>0</v>
      </c>
      <c r="Q8">
        <f t="shared" ca="1" si="2"/>
        <v>0</v>
      </c>
      <c r="R8" t="e">
        <f t="shared" ca="1" si="3"/>
        <v>#DIV/0!</v>
      </c>
      <c r="S8" t="e">
        <f t="shared" ca="1" si="4"/>
        <v>#DIV/0!</v>
      </c>
      <c r="T8" t="e">
        <f t="shared" ca="1" si="5"/>
        <v>#DIV/0!</v>
      </c>
      <c r="U8" t="e">
        <f t="shared" ca="1" si="6"/>
        <v>#DIV/0!</v>
      </c>
      <c r="V8" t="e">
        <f t="shared" ca="1" si="7"/>
        <v>#DIV/0!</v>
      </c>
      <c r="W8" t="e">
        <f t="shared" ca="1" si="8"/>
        <v>#DIV/0!</v>
      </c>
      <c r="X8">
        <v>5</v>
      </c>
      <c r="Y8">
        <f ca="1">RANK(Symptoms[[#This Row],[Total]],Symptoms[Total],0)</f>
        <v>1</v>
      </c>
      <c r="Z8">
        <f ca="1">Symptoms[[#This Row],[Rank Order]]+COUNTIF(Symptoms[Rank Order],Symptoms[[#This Row],[Rank Order]])-COUNTIF(Y$4:Y8,Symptoms[[#This Row],[Rank Order]])</f>
        <v>13</v>
      </c>
      <c r="AA8" t="s">
        <v>423</v>
      </c>
      <c r="AC8" t="str">
        <f>IF('Basic Information'!A30=0,"",'Basic Information'!A30)</f>
        <v/>
      </c>
      <c r="AD8" t="str">
        <f>IF($AC8="","",COUNTIFS(LL[Reason for Line Listing],"Case",LL[Role],AD$5,LL[Area],$AC8))</f>
        <v/>
      </c>
      <c r="AE8" t="str">
        <f>IF($AC8="","",COUNTIFS(LL[Reason for Line Listing],"Case",LL[Role],AE$5,LL[Area],$AC8))</f>
        <v/>
      </c>
      <c r="AF8" t="str">
        <f t="shared" ref="AF8:AF29" si="9">IF($AC8="","",AG8-AE8-AD8)</f>
        <v/>
      </c>
      <c r="AG8" t="str">
        <f>IF($AC8="","",COUNTIFS(LL[Reason for Line Listing],"Case",LL[Area],$AC8))</f>
        <v/>
      </c>
      <c r="AH8" t="str">
        <f>IFERROR(_xlfn.XLOOKUP($AC8,SpecificArea[Specific Area],SpecificArea[Staff (Vaccinated)])+_xlfn.XLOOKUP($AC8,SpecificArea[Specific Area],SpecificArea[Staff (Not vaccinated / unknown)]),"")</f>
        <v/>
      </c>
      <c r="AI8" t="str">
        <f>IFERROR(_xlfn.XLOOKUP($AC8,SpecificArea[Specific Area],SpecificArea[Residents (Vaccinated)])+_xlfn.XLOOKUP($AC8,SpecificArea[Specific Area],SpecificArea[Residents (Not vaccinated or unknown)]),"")</f>
        <v/>
      </c>
      <c r="AJ8" t="str">
        <f t="shared" ref="AJ8:AJ29" si="10">IF($AC8="","",AI8+AH8)</f>
        <v/>
      </c>
      <c r="AK8" s="141" t="str">
        <f t="shared" ref="AK8:AK29" si="11">IFERROR(AD8/AH8,"")</f>
        <v/>
      </c>
      <c r="AL8" s="141" t="str">
        <f t="shared" ref="AL8:AL29" si="12">IFERROR(AE8/AI8,"")</f>
        <v/>
      </c>
      <c r="AM8" s="141" t="str">
        <f t="shared" ref="AM8:AM29" si="13">IFERROR((AD8+AE8)/AJ8,"")</f>
        <v/>
      </c>
      <c r="AN8" t="str">
        <f t="shared" ref="AN8:AN29" si="14">IF(AC8="","","The "&amp;AC8&amp;" had a total of "&amp;IF(AG8=1,"1 case among ",AG8&amp;" cases among ")&amp;AJ8&amp;" susceptible, for an attack rate of "&amp;ROUND(AM8*100,1)&amp;" percent. "&amp;IF(AD8=0,"There were no staff cases. ","Staff experienced "&amp;IF(AD8=1,"1 case among",AD8&amp;" cases among ")&amp;AH8&amp;" susceptible, for an attack rate of "&amp;ROUND(AK8*100,1)&amp;" percent. ")&amp;IF(AE8=0,"There were no resident cases. ","Residents experienced "&amp;IF(AE8=1,"1 case among",AE8&amp;" cases among ")&amp;AI8&amp;" susceptible, for an attack rate of "&amp;ROUND(AL8*100,1)&amp;" percent. ")&amp;IF(AF8=0,"There were no other cases. ","Others experienced "&amp;IF(AF8=1,"1 case among",AF8&amp;" cases.  ")))</f>
        <v/>
      </c>
      <c r="AP8" s="73" t="s">
        <v>443</v>
      </c>
      <c r="AQ8" s="73">
        <f>COUNTIFS(LL[Reason for Line Listing],"Case",LL[Age],"&gt;="&amp;50,LL[Age],"&lt;"&amp;60)</f>
        <v>0</v>
      </c>
      <c r="AU8" s="107" t="str">
        <f>"Residents: "&amp;COUNTIFS(LL[Vaccinated - COVID],"Y",LL[Role],"Resident",LL[Reason for Line Listing],"Case")</f>
        <v>Residents: 0</v>
      </c>
      <c r="AV8" t="str">
        <f>IF(COUNTIFS(LL[Vaccinated - COVID],"Y",LL[Role],"Resident",LL[Reason for Line Listing],"Case")=0,"","Cases among vaccinated residents numbered "&amp;COUNTIFS(LL[Vaccinated - COVID],"Y",LL[Role],"Resident",LL[Reason for Line Listing],"Case")&amp;". ")</f>
        <v/>
      </c>
    </row>
    <row r="9" spans="1:48" x14ac:dyDescent="0.3">
      <c r="A9" s="106" t="str">
        <f>IF(A8="","",IF(A8=MAX(LL[Day 0]),"",A8+1))</f>
        <v/>
      </c>
      <c r="B9" t="str">
        <f>IF($A9="","",COUNTIFS(LL[Reason for Line Listing],"Case",LL[Role],B$3,LL[Day 0],$A9))</f>
        <v/>
      </c>
      <c r="C9" t="str">
        <f>IF($A9="","",COUNTIFS(LL[Reason for Line Listing],"Case",LL[Role],C$3,LL[Day 0],$A9))</f>
        <v/>
      </c>
      <c r="D9" t="str">
        <f>IF($A9="","",COUNTIFS(LL[Reason for Line Listing],"Case",LL[Role],D$3,LL[Day 0],$A9))</f>
        <v/>
      </c>
      <c r="E9" t="str">
        <f>IF($A9="","",COUNTIFS(LL[Reason for Line Listing],"Case",LL[Role],E$3,LL[Day 0],$A9))</f>
        <v/>
      </c>
      <c r="F9" t="str">
        <f>IF($A9="","",COUNTIFS(LL[Reason for Line Listing],"Case",LL[Role],F$3,LL[Day 0],$A9))</f>
        <v/>
      </c>
      <c r="G9" t="str">
        <f>IF($A9="","",COUNTIFS(LL[Reason for Line Listing],"Case",LL[Role],G$3,LL[Day 0],$A9))</f>
        <v/>
      </c>
      <c r="H9" t="str">
        <f>IF($A9="","",COUNTIFS(LL[Reason for Line Listing],"Case",LL[Role],H$3,LL[Day 0],$A9))</f>
        <v/>
      </c>
      <c r="I9" t="str">
        <f>IF($A9="","",COUNTIFS(LL[Reason for Line Listing],"Case",LL[Role],I$3,LL[Day 0],$A9))</f>
        <v/>
      </c>
      <c r="J9" t="str">
        <f>IF($A9="","",COUNTIFS(LL[Reason for Line Listing],"Case",LL[Role],J$3,LL[Day 0],$A9))</f>
        <v/>
      </c>
      <c r="K9" s="145" t="str">
        <f t="shared" si="1"/>
        <v/>
      </c>
      <c r="M9" s="43" t="s">
        <v>39</v>
      </c>
      <c r="N9">
        <f ca="1">COUNTIFS(INDIRECT("LL["&amp;$M9&amp;"]"),"&lt;&gt;",LL[Reason for Line Listing],"Case")</f>
        <v>0</v>
      </c>
      <c r="O9">
        <f ca="1">COUNTIFS(INDIRECT("LL["&amp;$M9&amp;"]"),"&lt;&gt;",LL[Reason for Line Listing],"Case",LL[Sex],O$3)</f>
        <v>0</v>
      </c>
      <c r="P9">
        <f ca="1">COUNTIFS(INDIRECT("LL["&amp;$M9&amp;"]"),"&lt;&gt;",LL[Reason for Line Listing],"Case",LL[Sex],P$3)</f>
        <v>0</v>
      </c>
      <c r="Q9">
        <f t="shared" ca="1" si="2"/>
        <v>0</v>
      </c>
      <c r="R9" t="e">
        <f t="shared" ca="1" si="3"/>
        <v>#DIV/0!</v>
      </c>
      <c r="S9" t="e">
        <f t="shared" ca="1" si="4"/>
        <v>#DIV/0!</v>
      </c>
      <c r="T9" t="e">
        <f t="shared" ca="1" si="5"/>
        <v>#DIV/0!</v>
      </c>
      <c r="U9" t="e">
        <f t="shared" ca="1" si="6"/>
        <v>#DIV/0!</v>
      </c>
      <c r="V9" t="e">
        <f t="shared" ca="1" si="7"/>
        <v>#DIV/0!</v>
      </c>
      <c r="W9" t="e">
        <f t="shared" ca="1" si="8"/>
        <v>#DIV/0!</v>
      </c>
      <c r="X9">
        <v>6</v>
      </c>
      <c r="Y9">
        <f ca="1">RANK(Symptoms[[#This Row],[Total]],Symptoms[Total],0)</f>
        <v>1</v>
      </c>
      <c r="Z9">
        <f ca="1">Symptoms[[#This Row],[Rank Order]]+COUNTIF(Symptoms[Rank Order],Symptoms[[#This Row],[Rank Order]])-COUNTIF(Y$4:Y9,Symptoms[[#This Row],[Rank Order]])</f>
        <v>12</v>
      </c>
      <c r="AA9" t="s">
        <v>422</v>
      </c>
      <c r="AC9" t="str">
        <f>IF('Basic Information'!A31=0,"",'Basic Information'!A31)</f>
        <v/>
      </c>
      <c r="AD9" t="str">
        <f>IF($AC9="","",COUNTIFS(LL[Reason for Line Listing],"Case",LL[Role],AD$5,LL[Area],$AC9))</f>
        <v/>
      </c>
      <c r="AE9" t="str">
        <f>IF($AC9="","",COUNTIFS(LL[Reason for Line Listing],"Case",LL[Role],AE$5,LL[Area],$AC9))</f>
        <v/>
      </c>
      <c r="AF9" t="str">
        <f t="shared" si="9"/>
        <v/>
      </c>
      <c r="AG9" t="str">
        <f>IF($AC9="","",COUNTIFS(LL[Reason for Line Listing],"Case",LL[Area],$AC9))</f>
        <v/>
      </c>
      <c r="AH9" t="str">
        <f>IFERROR(_xlfn.XLOOKUP($AC9,SpecificArea[Specific Area],SpecificArea[Staff (Vaccinated)])+_xlfn.XLOOKUP($AC9,SpecificArea[Specific Area],SpecificArea[Staff (Not vaccinated / unknown)]),"")</f>
        <v/>
      </c>
      <c r="AI9" t="str">
        <f>IFERROR(_xlfn.XLOOKUP($AC9,SpecificArea[Specific Area],SpecificArea[Residents (Vaccinated)])+_xlfn.XLOOKUP($AC9,SpecificArea[Specific Area],SpecificArea[Residents (Not vaccinated or unknown)]),"")</f>
        <v/>
      </c>
      <c r="AJ9" t="str">
        <f t="shared" si="10"/>
        <v/>
      </c>
      <c r="AK9" s="141" t="str">
        <f t="shared" si="11"/>
        <v/>
      </c>
      <c r="AL9" s="141" t="str">
        <f t="shared" si="12"/>
        <v/>
      </c>
      <c r="AM9" s="141" t="str">
        <f t="shared" si="13"/>
        <v/>
      </c>
      <c r="AN9" t="str">
        <f t="shared" si="14"/>
        <v/>
      </c>
      <c r="AP9" s="73" t="s">
        <v>444</v>
      </c>
      <c r="AQ9" s="73">
        <f>COUNTIFS(LL[Reason for Line Listing],"Case",LL[Age],"&gt;="&amp;60,LL[Age],"&lt;"&amp;70)</f>
        <v>0</v>
      </c>
      <c r="AU9" s="107" t="str">
        <f>"Staff: "&amp;COUNTIFS(LL[Vaccinated - COVID],"Y",LL[Role],"Staff",LL[Reason for Line Listing],"Case")</f>
        <v>Staff: 0</v>
      </c>
      <c r="AV9" t="str">
        <f>IF(COUNTIFS(LL[Vaccinated - COVID],"Y",LL[Role],"Staff",LL[Reason for Line Listing],"Case")=0,"","Cases among vaccinated staff numbered "&amp;COUNTIFS(LL[Vaccinated - COVID],"Y",LL[Role],"Staff",LL[Reason for Line Listing],"Case")&amp;". ")</f>
        <v/>
      </c>
    </row>
    <row r="10" spans="1:48" x14ac:dyDescent="0.3">
      <c r="A10" s="106" t="str">
        <f>IF(A9="","",IF(A9=MAX(LL[Day 0]),"",A9+1))</f>
        <v/>
      </c>
      <c r="B10" t="str">
        <f>IF($A10="","",COUNTIFS(LL[Reason for Line Listing],"Case",LL[Role],B$3,LL[Day 0],$A10))</f>
        <v/>
      </c>
      <c r="C10" t="str">
        <f>IF($A10="","",COUNTIFS(LL[Reason for Line Listing],"Case",LL[Role],C$3,LL[Day 0],$A10))</f>
        <v/>
      </c>
      <c r="D10" t="str">
        <f>IF($A10="","",COUNTIFS(LL[Reason for Line Listing],"Case",LL[Role],D$3,LL[Day 0],$A10))</f>
        <v/>
      </c>
      <c r="E10" t="str">
        <f>IF($A10="","",COUNTIFS(LL[Reason for Line Listing],"Case",LL[Role],E$3,LL[Day 0],$A10))</f>
        <v/>
      </c>
      <c r="F10" t="str">
        <f>IF($A10="","",COUNTIFS(LL[Reason for Line Listing],"Case",LL[Role],F$3,LL[Day 0],$A10))</f>
        <v/>
      </c>
      <c r="G10" t="str">
        <f>IF($A10="","",COUNTIFS(LL[Reason for Line Listing],"Case",LL[Role],G$3,LL[Day 0],$A10))</f>
        <v/>
      </c>
      <c r="H10" t="str">
        <f>IF($A10="","",COUNTIFS(LL[Reason for Line Listing],"Case",LL[Role],H$3,LL[Day 0],$A10))</f>
        <v/>
      </c>
      <c r="I10" t="str">
        <f>IF($A10="","",COUNTIFS(LL[Reason for Line Listing],"Case",LL[Role],I$3,LL[Day 0],$A10))</f>
        <v/>
      </c>
      <c r="J10" t="str">
        <f>IF($A10="","",COUNTIFS(LL[Reason for Line Listing],"Case",LL[Role],J$3,LL[Day 0],$A10))</f>
        <v/>
      </c>
      <c r="K10" s="145" t="str">
        <f t="shared" si="1"/>
        <v/>
      </c>
      <c r="M10" s="43" t="s">
        <v>40</v>
      </c>
      <c r="N10">
        <f ca="1">COUNTIFS(INDIRECT("LL["&amp;$M10&amp;"]"),"&lt;&gt;",LL[Reason for Line Listing],"Case")</f>
        <v>0</v>
      </c>
      <c r="O10">
        <f ca="1">COUNTIFS(INDIRECT("LL["&amp;$M10&amp;"]"),"&lt;&gt;",LL[Reason for Line Listing],"Case",LL[Sex],O$3)</f>
        <v>0</v>
      </c>
      <c r="P10">
        <f ca="1">COUNTIFS(INDIRECT("LL["&amp;$M10&amp;"]"),"&lt;&gt;",LL[Reason for Line Listing],"Case",LL[Sex],P$3)</f>
        <v>0</v>
      </c>
      <c r="Q10">
        <f t="shared" ca="1" si="2"/>
        <v>0</v>
      </c>
      <c r="R10" t="e">
        <f t="shared" ca="1" si="3"/>
        <v>#DIV/0!</v>
      </c>
      <c r="S10" t="e">
        <f t="shared" ca="1" si="4"/>
        <v>#DIV/0!</v>
      </c>
      <c r="T10" t="e">
        <f t="shared" ca="1" si="5"/>
        <v>#DIV/0!</v>
      </c>
      <c r="U10" t="e">
        <f t="shared" ca="1" si="6"/>
        <v>#DIV/0!</v>
      </c>
      <c r="V10" t="e">
        <f t="shared" ca="1" si="7"/>
        <v>#DIV/0!</v>
      </c>
      <c r="W10" t="e">
        <f t="shared" ca="1" si="8"/>
        <v>#DIV/0!</v>
      </c>
      <c r="X10">
        <v>7</v>
      </c>
      <c r="Y10">
        <f ca="1">RANK(Symptoms[[#This Row],[Total]],Symptoms[Total],0)</f>
        <v>1</v>
      </c>
      <c r="Z10">
        <f ca="1">Symptoms[[#This Row],[Rank Order]]+COUNTIF(Symptoms[Rank Order],Symptoms[[#This Row],[Rank Order]])-COUNTIF(Y$4:Y10,Symptoms[[#This Row],[Rank Order]])</f>
        <v>11</v>
      </c>
      <c r="AA10" t="s">
        <v>422</v>
      </c>
      <c r="AC10" t="str">
        <f>IF('Basic Information'!A32=0,"",'Basic Information'!A32)</f>
        <v/>
      </c>
      <c r="AD10" t="str">
        <f>IF($AC10="","",COUNTIFS(LL[Reason for Line Listing],"Case",LL[Role],AD$5,LL[Area],$AC10))</f>
        <v/>
      </c>
      <c r="AE10" t="str">
        <f>IF($AC10="","",COUNTIFS(LL[Reason for Line Listing],"Case",LL[Role],AE$5,LL[Area],$AC10))</f>
        <v/>
      </c>
      <c r="AF10" t="str">
        <f t="shared" si="9"/>
        <v/>
      </c>
      <c r="AG10" t="str">
        <f>IF($AC10="","",COUNTIFS(LL[Reason for Line Listing],"Case",LL[Area],$AC10))</f>
        <v/>
      </c>
      <c r="AH10" t="str">
        <f>IFERROR(_xlfn.XLOOKUP($AC10,SpecificArea[Specific Area],SpecificArea[Staff (Vaccinated)])+_xlfn.XLOOKUP($AC10,SpecificArea[Specific Area],SpecificArea[Staff (Not vaccinated / unknown)]),"")</f>
        <v/>
      </c>
      <c r="AI10" t="str">
        <f>IFERROR(_xlfn.XLOOKUP($AC10,SpecificArea[Specific Area],SpecificArea[Residents (Vaccinated)])+_xlfn.XLOOKUP($AC10,SpecificArea[Specific Area],SpecificArea[Residents (Not vaccinated or unknown)]),"")</f>
        <v/>
      </c>
      <c r="AJ10" t="str">
        <f t="shared" si="10"/>
        <v/>
      </c>
      <c r="AK10" s="141" t="str">
        <f t="shared" si="11"/>
        <v/>
      </c>
      <c r="AL10" s="141" t="str">
        <f t="shared" si="12"/>
        <v/>
      </c>
      <c r="AM10" s="141" t="str">
        <f t="shared" si="13"/>
        <v/>
      </c>
      <c r="AN10" t="str">
        <f t="shared" si="14"/>
        <v/>
      </c>
      <c r="AP10" s="73" t="s">
        <v>445</v>
      </c>
      <c r="AQ10" s="73">
        <f>COUNTIFS(LL[Reason for Line Listing],"Case",LL[Age],"&gt;="&amp;70,LL[Age],"&lt;"&amp;80)</f>
        <v>0</v>
      </c>
      <c r="AU10" s="107" t="str">
        <f>"TOTAL:  "&amp;COUNTIFS(LL[Vaccinated - COVID],"Y",LL[Reason for Line Listing],"Case")</f>
        <v>TOTAL:  0</v>
      </c>
    </row>
    <row r="11" spans="1:48" x14ac:dyDescent="0.3">
      <c r="A11" s="106" t="str">
        <f>IF(A10="","",IF(A10=MAX(LL[Day 0]),"",A10+1))</f>
        <v/>
      </c>
      <c r="B11" t="str">
        <f>IF($A11="","",COUNTIFS(LL[Reason for Line Listing],"Case",LL[Role],B$3,LL[Day 0],$A11))</f>
        <v/>
      </c>
      <c r="C11" t="str">
        <f>IF($A11="","",COUNTIFS(LL[Reason for Line Listing],"Case",LL[Role],C$3,LL[Day 0],$A11))</f>
        <v/>
      </c>
      <c r="D11" t="str">
        <f>IF($A11="","",COUNTIFS(LL[Reason for Line Listing],"Case",LL[Role],D$3,LL[Day 0],$A11))</f>
        <v/>
      </c>
      <c r="E11" t="str">
        <f>IF($A11="","",COUNTIFS(LL[Reason for Line Listing],"Case",LL[Role],E$3,LL[Day 0],$A11))</f>
        <v/>
      </c>
      <c r="F11" t="str">
        <f>IF($A11="","",COUNTIFS(LL[Reason for Line Listing],"Case",LL[Role],F$3,LL[Day 0],$A11))</f>
        <v/>
      </c>
      <c r="G11" t="str">
        <f>IF($A11="","",COUNTIFS(LL[Reason for Line Listing],"Case",LL[Role],G$3,LL[Day 0],$A11))</f>
        <v/>
      </c>
      <c r="H11" t="str">
        <f>IF($A11="","",COUNTIFS(LL[Reason for Line Listing],"Case",LL[Role],H$3,LL[Day 0],$A11))</f>
        <v/>
      </c>
      <c r="I11" t="str">
        <f>IF($A11="","",COUNTIFS(LL[Reason for Line Listing],"Case",LL[Role],I$3,LL[Day 0],$A11))</f>
        <v/>
      </c>
      <c r="J11" t="str">
        <f>IF($A11="","",COUNTIFS(LL[Reason for Line Listing],"Case",LL[Role],J$3,LL[Day 0],$A11))</f>
        <v/>
      </c>
      <c r="K11" s="145" t="str">
        <f t="shared" si="1"/>
        <v/>
      </c>
      <c r="M11" s="43" t="s">
        <v>41</v>
      </c>
      <c r="N11">
        <f ca="1">COUNTIFS(INDIRECT("LL["&amp;$M11&amp;"]"),"&lt;&gt;",LL[Reason for Line Listing],"Case")</f>
        <v>0</v>
      </c>
      <c r="O11">
        <f ca="1">COUNTIFS(INDIRECT("LL["&amp;$M11&amp;"]"),"&lt;&gt;",LL[Reason for Line Listing],"Case",LL[Sex],O$3)</f>
        <v>0</v>
      </c>
      <c r="P11">
        <f ca="1">COUNTIFS(INDIRECT("LL["&amp;$M11&amp;"]"),"&lt;&gt;",LL[Reason for Line Listing],"Case",LL[Sex],P$3)</f>
        <v>0</v>
      </c>
      <c r="Q11">
        <f t="shared" ca="1" si="2"/>
        <v>0</v>
      </c>
      <c r="R11" t="e">
        <f t="shared" ca="1" si="3"/>
        <v>#DIV/0!</v>
      </c>
      <c r="S11" t="e">
        <f t="shared" ca="1" si="4"/>
        <v>#DIV/0!</v>
      </c>
      <c r="T11" t="e">
        <f t="shared" ca="1" si="5"/>
        <v>#DIV/0!</v>
      </c>
      <c r="U11" t="e">
        <f t="shared" ca="1" si="6"/>
        <v>#DIV/0!</v>
      </c>
      <c r="V11" t="e">
        <f t="shared" ca="1" si="7"/>
        <v>#DIV/0!</v>
      </c>
      <c r="W11" t="e">
        <f t="shared" ca="1" si="8"/>
        <v>#DIV/0!</v>
      </c>
      <c r="X11">
        <v>8</v>
      </c>
      <c r="Y11">
        <f ca="1">RANK(Symptoms[[#This Row],[Total]],Symptoms[Total],0)</f>
        <v>1</v>
      </c>
      <c r="Z11">
        <f ca="1">Symptoms[[#This Row],[Rank Order]]+COUNTIF(Symptoms[Rank Order],Symptoms[[#This Row],[Rank Order]])-COUNTIF(Y$4:Y11,Symptoms[[#This Row],[Rank Order]])</f>
        <v>10</v>
      </c>
      <c r="AA11" t="s">
        <v>422</v>
      </c>
      <c r="AC11" t="str">
        <f>IF('Basic Information'!A33=0,"",'Basic Information'!A33)</f>
        <v/>
      </c>
      <c r="AD11" t="str">
        <f>IF($AC11="","",COUNTIFS(LL[Reason for Line Listing],"Case",LL[Role],AD$5,LL[Area],$AC11))</f>
        <v/>
      </c>
      <c r="AE11" t="str">
        <f>IF($AC11="","",COUNTIFS(LL[Reason for Line Listing],"Case",LL[Role],AE$5,LL[Area],$AC11))</f>
        <v/>
      </c>
      <c r="AF11" t="str">
        <f t="shared" si="9"/>
        <v/>
      </c>
      <c r="AG11" t="str">
        <f>IF($AC11="","",COUNTIFS(LL[Reason for Line Listing],"Case",LL[Area],$AC11))</f>
        <v/>
      </c>
      <c r="AH11" t="str">
        <f>IFERROR(_xlfn.XLOOKUP($AC11,SpecificArea[Specific Area],SpecificArea[Staff (Vaccinated)])+_xlfn.XLOOKUP($AC11,SpecificArea[Specific Area],SpecificArea[Staff (Not vaccinated / unknown)]),"")</f>
        <v/>
      </c>
      <c r="AI11" t="str">
        <f>IFERROR(_xlfn.XLOOKUP($AC11,SpecificArea[Specific Area],SpecificArea[Residents (Vaccinated)])+_xlfn.XLOOKUP($AC11,SpecificArea[Specific Area],SpecificArea[Residents (Not vaccinated or unknown)]),"")</f>
        <v/>
      </c>
      <c r="AJ11" t="str">
        <f t="shared" si="10"/>
        <v/>
      </c>
      <c r="AK11" s="141" t="str">
        <f t="shared" si="11"/>
        <v/>
      </c>
      <c r="AL11" s="141" t="str">
        <f t="shared" si="12"/>
        <v/>
      </c>
      <c r="AM11" s="141" t="str">
        <f t="shared" si="13"/>
        <v/>
      </c>
      <c r="AN11" t="str">
        <f t="shared" si="14"/>
        <v/>
      </c>
      <c r="AP11" s="73" t="s">
        <v>446</v>
      </c>
      <c r="AQ11" s="73">
        <f>COUNTIFS(LL[Reason for Line Listing],"Case",LL[Age],"&gt;="&amp;80,LL[Age],"&lt;"&amp;90)</f>
        <v>0</v>
      </c>
      <c r="AS11" s="77" t="s">
        <v>451</v>
      </c>
      <c r="AU11" s="146" t="str">
        <f>IF(ISBLANK('Basic Information'!B29),"","By Area")</f>
        <v/>
      </c>
    </row>
    <row r="12" spans="1:48" x14ac:dyDescent="0.3">
      <c r="A12" s="106" t="str">
        <f>IF(A11="","",IF(A11=MAX(LL[Day 0]),"",A11+1))</f>
        <v/>
      </c>
      <c r="B12" t="str">
        <f>IF($A12="","",COUNTIFS(LL[Reason for Line Listing],"Case",LL[Role],B$3,LL[Day 0],$A12))</f>
        <v/>
      </c>
      <c r="C12" t="str">
        <f>IF($A12="","",COUNTIFS(LL[Reason for Line Listing],"Case",LL[Role],C$3,LL[Day 0],$A12))</f>
        <v/>
      </c>
      <c r="D12" t="str">
        <f>IF($A12="","",COUNTIFS(LL[Reason for Line Listing],"Case",LL[Role],D$3,LL[Day 0],$A12))</f>
        <v/>
      </c>
      <c r="E12" t="str">
        <f>IF($A12="","",COUNTIFS(LL[Reason for Line Listing],"Case",LL[Role],E$3,LL[Day 0],$A12))</f>
        <v/>
      </c>
      <c r="F12" t="str">
        <f>IF($A12="","",COUNTIFS(LL[Reason for Line Listing],"Case",LL[Role],F$3,LL[Day 0],$A12))</f>
        <v/>
      </c>
      <c r="G12" t="str">
        <f>IF($A12="","",COUNTIFS(LL[Reason for Line Listing],"Case",LL[Role],G$3,LL[Day 0],$A12))</f>
        <v/>
      </c>
      <c r="H12" t="str">
        <f>IF($A12="","",COUNTIFS(LL[Reason for Line Listing],"Case",LL[Role],H$3,LL[Day 0],$A12))</f>
        <v/>
      </c>
      <c r="I12" t="str">
        <f>IF($A12="","",COUNTIFS(LL[Reason for Line Listing],"Case",LL[Role],I$3,LL[Day 0],$A12))</f>
        <v/>
      </c>
      <c r="J12" t="str">
        <f>IF($A12="","",COUNTIFS(LL[Reason for Line Listing],"Case",LL[Role],J$3,LL[Day 0],$A12))</f>
        <v/>
      </c>
      <c r="K12" s="145" t="str">
        <f t="shared" si="1"/>
        <v/>
      </c>
      <c r="M12" s="43" t="s">
        <v>42</v>
      </c>
      <c r="N12">
        <f ca="1">COUNTIFS(INDIRECT("LL["&amp;$M12&amp;"]"),"&lt;&gt;",LL[Reason for Line Listing],"Case")</f>
        <v>0</v>
      </c>
      <c r="O12">
        <f ca="1">COUNTIFS(INDIRECT("LL["&amp;$M12&amp;"]"),"&lt;&gt;",LL[Reason for Line Listing],"Case",LL[Sex],O$3)</f>
        <v>0</v>
      </c>
      <c r="P12">
        <f ca="1">COUNTIFS(INDIRECT("LL["&amp;$M12&amp;"]"),"&lt;&gt;",LL[Reason for Line Listing],"Case",LL[Sex],P$3)</f>
        <v>0</v>
      </c>
      <c r="Q12">
        <f t="shared" ca="1" si="2"/>
        <v>0</v>
      </c>
      <c r="R12" t="e">
        <f t="shared" ca="1" si="3"/>
        <v>#DIV/0!</v>
      </c>
      <c r="S12" t="e">
        <f t="shared" ca="1" si="4"/>
        <v>#DIV/0!</v>
      </c>
      <c r="T12" t="e">
        <f t="shared" ca="1" si="5"/>
        <v>#DIV/0!</v>
      </c>
      <c r="U12" t="e">
        <f t="shared" ca="1" si="6"/>
        <v>#DIV/0!</v>
      </c>
      <c r="V12" t="e">
        <f t="shared" ca="1" si="7"/>
        <v>#DIV/0!</v>
      </c>
      <c r="W12" t="e">
        <f t="shared" ca="1" si="8"/>
        <v>#DIV/0!</v>
      </c>
      <c r="X12">
        <v>9</v>
      </c>
      <c r="Y12">
        <f ca="1">RANK(Symptoms[[#This Row],[Total]],Symptoms[Total],0)</f>
        <v>1</v>
      </c>
      <c r="Z12">
        <f ca="1">Symptoms[[#This Row],[Rank Order]]+COUNTIF(Symptoms[Rank Order],Symptoms[[#This Row],[Rank Order]])-COUNTIF(Y$4:Y12,Symptoms[[#This Row],[Rank Order]])</f>
        <v>9</v>
      </c>
      <c r="AA12" t="s">
        <v>422</v>
      </c>
      <c r="AC12" t="str">
        <f>IF('Basic Information'!A34=0,"",'Basic Information'!A34)</f>
        <v/>
      </c>
      <c r="AD12" t="str">
        <f>IF($AC12="","",COUNTIFS(LL[Reason for Line Listing],"Case",LL[Role],AD$5,LL[Area],$AC12))</f>
        <v/>
      </c>
      <c r="AE12" t="str">
        <f>IF($AC12="","",COUNTIFS(LL[Reason for Line Listing],"Case",LL[Role],AE$5,LL[Area],$AC12))</f>
        <v/>
      </c>
      <c r="AF12" t="str">
        <f t="shared" si="9"/>
        <v/>
      </c>
      <c r="AG12" t="str">
        <f>IF($AC12="","",COUNTIFS(LL[Reason for Line Listing],"Case",LL[Area],$AC12))</f>
        <v/>
      </c>
      <c r="AH12" t="str">
        <f>IFERROR(_xlfn.XLOOKUP($AC12,SpecificArea[Specific Area],SpecificArea[Staff (Vaccinated)])+_xlfn.XLOOKUP($AC12,SpecificArea[Specific Area],SpecificArea[Staff (Not vaccinated / unknown)]),"")</f>
        <v/>
      </c>
      <c r="AI12" t="str">
        <f>IFERROR(_xlfn.XLOOKUP($AC12,SpecificArea[Specific Area],SpecificArea[Residents (Vaccinated)])+_xlfn.XLOOKUP($AC12,SpecificArea[Specific Area],SpecificArea[Residents (Not vaccinated or unknown)]),"")</f>
        <v/>
      </c>
      <c r="AJ12" t="str">
        <f t="shared" si="10"/>
        <v/>
      </c>
      <c r="AK12" s="141" t="str">
        <f t="shared" si="11"/>
        <v/>
      </c>
      <c r="AL12" s="141" t="str">
        <f t="shared" si="12"/>
        <v/>
      </c>
      <c r="AM12" s="141" t="str">
        <f t="shared" si="13"/>
        <v/>
      </c>
      <c r="AN12" t="str">
        <f t="shared" si="14"/>
        <v/>
      </c>
      <c r="AP12" s="73" t="s">
        <v>447</v>
      </c>
      <c r="AQ12" s="73">
        <f>COUNTIFS(LL[Reason for Line Listing],"Case",LL[Age],"&gt;="&amp;90)</f>
        <v>0</v>
      </c>
      <c r="AS12" s="78">
        <f>IFERROR(MaxIsolation+_xlfn.MAXIFS(LL[Isolation Start Date or Last Day Worked],LL[Reason for Line Listing],"Case",LL[Role],"Resident"),0)</f>
        <v>0</v>
      </c>
      <c r="AT12" t="s">
        <v>716</v>
      </c>
      <c r="AU12" s="107" t="str">
        <f>IF(ISBLANK('Basic Information'!A29),"",'Basic Information'!A29&amp;": "&amp;COUNTIFS(LL[Reason for Line Listing],"Case",LL[Area],'Basic Information'!A29,LL[Vaccinated - COVID],"Y"))</f>
        <v/>
      </c>
      <c r="AV12" t="str">
        <f>IF(COUNTIFS(LL[Reason for Line Listing],"Case",LL[Area],'Basic Information'!A29,LL[Vaccinated - COVID],"Y")=0,"","Cases among vaccinated people in the "&amp;'Basic Information'!A29&amp;" numbered "&amp;COUNTIFS(LL[Reason for Line Listing],"Case",LL[Area],'Basic Information'!A29,LL[Vaccinated - COVID],"Y")&amp;". " )</f>
        <v/>
      </c>
    </row>
    <row r="13" spans="1:48" x14ac:dyDescent="0.3">
      <c r="A13" s="106" t="str">
        <f>IF(A12="","",IF(A12=MAX(LL[Day 0]),"",A12+1))</f>
        <v/>
      </c>
      <c r="B13" t="str">
        <f>IF($A13="","",COUNTIFS(LL[Reason for Line Listing],"Case",LL[Role],B$3,LL[Day 0],$A13))</f>
        <v/>
      </c>
      <c r="C13" t="str">
        <f>IF($A13="","",COUNTIFS(LL[Reason for Line Listing],"Case",LL[Role],C$3,LL[Day 0],$A13))</f>
        <v/>
      </c>
      <c r="D13" t="str">
        <f>IF($A13="","",COUNTIFS(LL[Reason for Line Listing],"Case",LL[Role],D$3,LL[Day 0],$A13))</f>
        <v/>
      </c>
      <c r="E13" t="str">
        <f>IF($A13="","",COUNTIFS(LL[Reason for Line Listing],"Case",LL[Role],E$3,LL[Day 0],$A13))</f>
        <v/>
      </c>
      <c r="F13" t="str">
        <f>IF($A13="","",COUNTIFS(LL[Reason for Line Listing],"Case",LL[Role],F$3,LL[Day 0],$A13))</f>
        <v/>
      </c>
      <c r="G13" t="str">
        <f>IF($A13="","",COUNTIFS(LL[Reason for Line Listing],"Case",LL[Role],G$3,LL[Day 0],$A13))</f>
        <v/>
      </c>
      <c r="H13" t="str">
        <f>IF($A13="","",COUNTIFS(LL[Reason for Line Listing],"Case",LL[Role],H$3,LL[Day 0],$A13))</f>
        <v/>
      </c>
      <c r="I13" t="str">
        <f>IF($A13="","",COUNTIFS(LL[Reason for Line Listing],"Case",LL[Role],I$3,LL[Day 0],$A13))</f>
        <v/>
      </c>
      <c r="J13" t="str">
        <f>IF($A13="","",COUNTIFS(LL[Reason for Line Listing],"Case",LL[Role],J$3,LL[Day 0],$A13))</f>
        <v/>
      </c>
      <c r="K13" s="145" t="str">
        <f t="shared" si="1"/>
        <v/>
      </c>
      <c r="M13" s="43" t="s">
        <v>43</v>
      </c>
      <c r="N13">
        <f ca="1">COUNTIFS(INDIRECT("LL["&amp;$M13&amp;"]"),"&lt;&gt;",LL[Reason for Line Listing],"Case")</f>
        <v>0</v>
      </c>
      <c r="O13">
        <f ca="1">COUNTIFS(INDIRECT("LL["&amp;$M13&amp;"]"),"&lt;&gt;",LL[Reason for Line Listing],"Case",LL[Sex],O$3)</f>
        <v>0</v>
      </c>
      <c r="P13">
        <f ca="1">COUNTIFS(INDIRECT("LL["&amp;$M13&amp;"]"),"&lt;&gt;",LL[Reason for Line Listing],"Case",LL[Sex],P$3)</f>
        <v>0</v>
      </c>
      <c r="Q13">
        <f t="shared" ca="1" si="2"/>
        <v>0</v>
      </c>
      <c r="R13" t="e">
        <f t="shared" ca="1" si="3"/>
        <v>#DIV/0!</v>
      </c>
      <c r="S13" t="e">
        <f t="shared" ca="1" si="4"/>
        <v>#DIV/0!</v>
      </c>
      <c r="T13" t="e">
        <f t="shared" ca="1" si="5"/>
        <v>#DIV/0!</v>
      </c>
      <c r="U13" t="e">
        <f t="shared" ca="1" si="6"/>
        <v>#DIV/0!</v>
      </c>
      <c r="V13" t="e">
        <f t="shared" ca="1" si="7"/>
        <v>#DIV/0!</v>
      </c>
      <c r="W13" t="e">
        <f t="shared" ca="1" si="8"/>
        <v>#DIV/0!</v>
      </c>
      <c r="X13">
        <v>10</v>
      </c>
      <c r="Y13">
        <f ca="1">RANK(Symptoms[[#This Row],[Total]],Symptoms[Total],0)</f>
        <v>1</v>
      </c>
      <c r="Z13">
        <f ca="1">Symptoms[[#This Row],[Rank Order]]+COUNTIF(Symptoms[Rank Order],Symptoms[[#This Row],[Rank Order]])-COUNTIF(Y$4:Y13,Symptoms[[#This Row],[Rank Order]])</f>
        <v>8</v>
      </c>
      <c r="AA13" t="s">
        <v>422</v>
      </c>
      <c r="AC13" t="str">
        <f>IF('Basic Information'!A35=0,"",'Basic Information'!A35)</f>
        <v/>
      </c>
      <c r="AD13" t="str">
        <f>IF($AC13="","",COUNTIFS(LL[Reason for Line Listing],"Case",LL[Role],AD$5,LL[Area],$AC13))</f>
        <v/>
      </c>
      <c r="AE13" t="str">
        <f>IF($AC13="","",COUNTIFS(LL[Reason for Line Listing],"Case",LL[Role],AE$5,LL[Area],$AC13))</f>
        <v/>
      </c>
      <c r="AF13" t="str">
        <f t="shared" si="9"/>
        <v/>
      </c>
      <c r="AG13" t="str">
        <f>IF($AC13="","",COUNTIFS(LL[Reason for Line Listing],"Case",LL[Area],$AC13))</f>
        <v/>
      </c>
      <c r="AH13" t="str">
        <f>IFERROR(_xlfn.XLOOKUP($AC13,SpecificArea[Specific Area],SpecificArea[Staff (Vaccinated)])+_xlfn.XLOOKUP($AC13,SpecificArea[Specific Area],SpecificArea[Staff (Not vaccinated / unknown)]),"")</f>
        <v/>
      </c>
      <c r="AI13" t="str">
        <f>IFERROR(_xlfn.XLOOKUP($AC13,SpecificArea[Specific Area],SpecificArea[Residents (Vaccinated)])+_xlfn.XLOOKUP($AC13,SpecificArea[Specific Area],SpecificArea[Residents (Not vaccinated or unknown)]),"")</f>
        <v/>
      </c>
      <c r="AJ13" t="str">
        <f t="shared" si="10"/>
        <v/>
      </c>
      <c r="AK13" s="141" t="str">
        <f t="shared" si="11"/>
        <v/>
      </c>
      <c r="AL13" s="141" t="str">
        <f t="shared" si="12"/>
        <v/>
      </c>
      <c r="AM13" s="141" t="str">
        <f t="shared" si="13"/>
        <v/>
      </c>
      <c r="AN13" t="str">
        <f t="shared" si="14"/>
        <v/>
      </c>
      <c r="AS13" s="78">
        <f>IFERROR(MaxLDW+_xlfn.MAXIFS(LL[Isolation Start Date or Last Day Worked],LL[Reason for Line Listing],"Case"),0)</f>
        <v>0</v>
      </c>
      <c r="AT13" t="s">
        <v>717</v>
      </c>
      <c r="AU13" s="107" t="str">
        <f>IF(ISBLANK('Basic Information'!A30),"",'Basic Information'!A30&amp;": "&amp;COUNTIFS(LL[Reason for Line Listing],"Case",LL[Area],'Basic Information'!A30,LL[Vaccinated - COVID],"Y"))</f>
        <v/>
      </c>
      <c r="AV13" t="str">
        <f>IF(COUNTIFS(LL[Reason for Line Listing],"Case",LL[Area],'Basic Information'!A30,LL[Vaccinated - COVID],"Y")=0,"","Cases among vaccinated people in the "&amp;'Basic Information'!A30&amp;" numbered "&amp;COUNTIFS(LL[Reason for Line Listing],"Case",LL[Area],'Basic Information'!A30,LL[Vaccinated - COVID],"Y")&amp;". " )</f>
        <v/>
      </c>
    </row>
    <row r="14" spans="1:48" x14ac:dyDescent="0.3">
      <c r="A14" s="106" t="str">
        <f>IF(A13="","",IF(A13=MAX(LL[Day 0]),"",A13+1))</f>
        <v/>
      </c>
      <c r="B14" t="str">
        <f>IF($A14="","",COUNTIFS(LL[Reason for Line Listing],"Case",LL[Role],B$3,LL[Day 0],$A14))</f>
        <v/>
      </c>
      <c r="C14" t="str">
        <f>IF($A14="","",COUNTIFS(LL[Reason for Line Listing],"Case",LL[Role],C$3,LL[Day 0],$A14))</f>
        <v/>
      </c>
      <c r="D14" t="str">
        <f>IF($A14="","",COUNTIFS(LL[Reason for Line Listing],"Case",LL[Role],D$3,LL[Day 0],$A14))</f>
        <v/>
      </c>
      <c r="E14" t="str">
        <f>IF($A14="","",COUNTIFS(LL[Reason for Line Listing],"Case",LL[Role],E$3,LL[Day 0],$A14))</f>
        <v/>
      </c>
      <c r="F14" t="str">
        <f>IF($A14="","",COUNTIFS(LL[Reason for Line Listing],"Case",LL[Role],F$3,LL[Day 0],$A14))</f>
        <v/>
      </c>
      <c r="G14" t="str">
        <f>IF($A14="","",COUNTIFS(LL[Reason for Line Listing],"Case",LL[Role],G$3,LL[Day 0],$A14))</f>
        <v/>
      </c>
      <c r="H14" t="str">
        <f>IF($A14="","",COUNTIFS(LL[Reason for Line Listing],"Case",LL[Role],H$3,LL[Day 0],$A14))</f>
        <v/>
      </c>
      <c r="I14" t="str">
        <f>IF($A14="","",COUNTIFS(LL[Reason for Line Listing],"Case",LL[Role],I$3,LL[Day 0],$A14))</f>
        <v/>
      </c>
      <c r="J14" t="str">
        <f>IF($A14="","",COUNTIFS(LL[Reason for Line Listing],"Case",LL[Role],J$3,LL[Day 0],$A14))</f>
        <v/>
      </c>
      <c r="K14" s="145" t="str">
        <f t="shared" si="1"/>
        <v/>
      </c>
      <c r="M14" s="43" t="s">
        <v>44</v>
      </c>
      <c r="N14">
        <f ca="1">COUNTIFS(INDIRECT("LL["&amp;$M14&amp;"]"),"&lt;&gt;",LL[Reason for Line Listing],"Case")</f>
        <v>0</v>
      </c>
      <c r="O14">
        <f ca="1">COUNTIFS(INDIRECT("LL["&amp;$M14&amp;"]"),"&lt;&gt;",LL[Reason for Line Listing],"Case",LL[Sex],O$3)</f>
        <v>0</v>
      </c>
      <c r="P14">
        <f ca="1">COUNTIFS(INDIRECT("LL["&amp;$M14&amp;"]"),"&lt;&gt;",LL[Reason for Line Listing],"Case",LL[Sex],P$3)</f>
        <v>0</v>
      </c>
      <c r="Q14">
        <f t="shared" ca="1" si="2"/>
        <v>0</v>
      </c>
      <c r="R14" t="e">
        <f t="shared" ca="1" si="3"/>
        <v>#DIV/0!</v>
      </c>
      <c r="S14" t="e">
        <f t="shared" ca="1" si="4"/>
        <v>#DIV/0!</v>
      </c>
      <c r="T14" t="e">
        <f t="shared" ca="1" si="5"/>
        <v>#DIV/0!</v>
      </c>
      <c r="U14" t="e">
        <f t="shared" ca="1" si="6"/>
        <v>#DIV/0!</v>
      </c>
      <c r="V14" t="e">
        <f t="shared" ca="1" si="7"/>
        <v>#DIV/0!</v>
      </c>
      <c r="W14" t="e">
        <f t="shared" ca="1" si="8"/>
        <v>#DIV/0!</v>
      </c>
      <c r="X14">
        <v>11</v>
      </c>
      <c r="Y14">
        <f ca="1">RANK(Symptoms[[#This Row],[Total]],Symptoms[Total],0)</f>
        <v>1</v>
      </c>
      <c r="Z14">
        <f ca="1">Symptoms[[#This Row],[Rank Order]]+COUNTIF(Symptoms[Rank Order],Symptoms[[#This Row],[Rank Order]])-COUNTIF(Y$4:Y14,Symptoms[[#This Row],[Rank Order]])</f>
        <v>7</v>
      </c>
      <c r="AA14" t="s">
        <v>422</v>
      </c>
      <c r="AC14" t="str">
        <f>IF('Basic Information'!A36=0,"",'Basic Information'!A36)</f>
        <v/>
      </c>
      <c r="AD14" t="str">
        <f>IF($AC14="","",COUNTIFS(LL[Reason for Line Listing],"Case",LL[Role],AD$5,LL[Area],$AC14))</f>
        <v/>
      </c>
      <c r="AE14" t="str">
        <f>IF($AC14="","",COUNTIFS(LL[Reason for Line Listing],"Case",LL[Role],AE$5,LL[Area],$AC14))</f>
        <v/>
      </c>
      <c r="AF14" t="str">
        <f t="shared" si="9"/>
        <v/>
      </c>
      <c r="AG14" t="str">
        <f>IF($AC14="","",COUNTIFS(LL[Reason for Line Listing],"Case",LL[Area],$AC14))</f>
        <v/>
      </c>
      <c r="AH14" t="str">
        <f>IFERROR(_xlfn.XLOOKUP($AC14,SpecificArea[Specific Area],SpecificArea[Staff (Vaccinated)])+_xlfn.XLOOKUP($AC14,SpecificArea[Specific Area],SpecificArea[Staff (Not vaccinated / unknown)]),"")</f>
        <v/>
      </c>
      <c r="AI14" t="str">
        <f>IFERROR(_xlfn.XLOOKUP($AC14,SpecificArea[Specific Area],SpecificArea[Residents (Vaccinated)])+_xlfn.XLOOKUP($AC14,SpecificArea[Specific Area],SpecificArea[Residents (Not vaccinated or unknown)]),"")</f>
        <v/>
      </c>
      <c r="AJ14" t="str">
        <f t="shared" si="10"/>
        <v/>
      </c>
      <c r="AK14" s="141" t="str">
        <f t="shared" si="11"/>
        <v/>
      </c>
      <c r="AL14" s="141" t="str">
        <f t="shared" si="12"/>
        <v/>
      </c>
      <c r="AM14" s="141" t="str">
        <f t="shared" si="13"/>
        <v/>
      </c>
      <c r="AN14" t="str">
        <f t="shared" si="14"/>
        <v/>
      </c>
      <c r="AS14" s="78">
        <f>IFERROR(IF(AND(OR(TRIM(Organism)="C. difficile",TRIM(Organism2)="C. difficile",TRIM(Organism3)="C. difficile"),Affected="Entire Facility"),28+_xlfn.MAXIFS(LL[Day 0],LL[Reason for Line Listing],"Case",LL[Role],"Resident"),MaxDay0+_xlfn.MAXIFS(LL[Day 0],LL[Reason for Line Listing],"Case",LL[Role],"Resident")),0)</f>
        <v>0</v>
      </c>
      <c r="AT14" t="s">
        <v>715</v>
      </c>
      <c r="AU14" s="107" t="str">
        <f>IF(ISBLANK('Basic Information'!A31),"",'Basic Information'!A31&amp;": "&amp;COUNTIFS(LL[Reason for Line Listing],"Case",LL[Area],'Basic Information'!A31,LL[Vaccinated - COVID],"Y"))</f>
        <v/>
      </c>
      <c r="AV14" t="str">
        <f>IF(COUNTIFS(LL[Reason for Line Listing],"Case",LL[Area],'Basic Information'!A31,LL[Vaccinated - COVID],"Y")=0,"","Cases among vaccinated people in the "&amp;'Basic Information'!A31&amp;" numbered "&amp;COUNTIFS(LL[Reason for Line Listing],"Case",LL[Area],'Basic Information'!A31,LL[Vaccinated - COVID],"Y")&amp;". " )</f>
        <v/>
      </c>
    </row>
    <row r="15" spans="1:48" x14ac:dyDescent="0.3">
      <c r="A15" s="106" t="str">
        <f>IF(A14="","",IF(A14=MAX(LL[Day 0]),"",A14+1))</f>
        <v/>
      </c>
      <c r="B15" t="str">
        <f>IF($A15="","",COUNTIFS(LL[Reason for Line Listing],"Case",LL[Role],B$3,LL[Day 0],$A15))</f>
        <v/>
      </c>
      <c r="C15" t="str">
        <f>IF($A15="","",COUNTIFS(LL[Reason for Line Listing],"Case",LL[Role],C$3,LL[Day 0],$A15))</f>
        <v/>
      </c>
      <c r="D15" t="str">
        <f>IF($A15="","",COUNTIFS(LL[Reason for Line Listing],"Case",LL[Role],D$3,LL[Day 0],$A15))</f>
        <v/>
      </c>
      <c r="E15" t="str">
        <f>IF($A15="","",COUNTIFS(LL[Reason for Line Listing],"Case",LL[Role],E$3,LL[Day 0],$A15))</f>
        <v/>
      </c>
      <c r="F15" t="str">
        <f>IF($A15="","",COUNTIFS(LL[Reason for Line Listing],"Case",LL[Role],F$3,LL[Day 0],$A15))</f>
        <v/>
      </c>
      <c r="G15" t="str">
        <f>IF($A15="","",COUNTIFS(LL[Reason for Line Listing],"Case",LL[Role],G$3,LL[Day 0],$A15))</f>
        <v/>
      </c>
      <c r="H15" t="str">
        <f>IF($A15="","",COUNTIFS(LL[Reason for Line Listing],"Case",LL[Role],H$3,LL[Day 0],$A15))</f>
        <v/>
      </c>
      <c r="I15" t="str">
        <f>IF($A15="","",COUNTIFS(LL[Reason for Line Listing],"Case",LL[Role],I$3,LL[Day 0],$A15))</f>
        <v/>
      </c>
      <c r="J15" t="str">
        <f>IF($A15="","",COUNTIFS(LL[Reason for Line Listing],"Case",LL[Role],J$3,LL[Day 0],$A15))</f>
        <v/>
      </c>
      <c r="K15" s="145" t="str">
        <f t="shared" si="1"/>
        <v/>
      </c>
      <c r="M15" s="43" t="s">
        <v>45</v>
      </c>
      <c r="N15">
        <f ca="1">COUNTIFS(INDIRECT("LL["&amp;$M15&amp;"]"),"&lt;&gt;",LL[Reason for Line Listing],"Case")</f>
        <v>0</v>
      </c>
      <c r="O15">
        <f ca="1">COUNTIFS(INDIRECT("LL["&amp;$M15&amp;"]"),"&lt;&gt;",LL[Reason for Line Listing],"Case",LL[Sex],O$3)</f>
        <v>0</v>
      </c>
      <c r="P15">
        <f ca="1">COUNTIFS(INDIRECT("LL["&amp;$M15&amp;"]"),"&lt;&gt;",LL[Reason for Line Listing],"Case",LL[Sex],P$3)</f>
        <v>0</v>
      </c>
      <c r="Q15">
        <f t="shared" ca="1" si="2"/>
        <v>0</v>
      </c>
      <c r="R15" t="e">
        <f t="shared" ca="1" si="3"/>
        <v>#DIV/0!</v>
      </c>
      <c r="S15" t="e">
        <f t="shared" ca="1" si="4"/>
        <v>#DIV/0!</v>
      </c>
      <c r="T15" t="e">
        <f t="shared" ca="1" si="5"/>
        <v>#DIV/0!</v>
      </c>
      <c r="U15" t="e">
        <f t="shared" ca="1" si="6"/>
        <v>#DIV/0!</v>
      </c>
      <c r="V15" t="e">
        <f t="shared" ca="1" si="7"/>
        <v>#DIV/0!</v>
      </c>
      <c r="W15" t="e">
        <f t="shared" ca="1" si="8"/>
        <v>#DIV/0!</v>
      </c>
      <c r="X15">
        <v>12</v>
      </c>
      <c r="Y15">
        <f ca="1">RANK(Symptoms[[#This Row],[Total]],Symptoms[Total],0)</f>
        <v>1</v>
      </c>
      <c r="Z15">
        <f ca="1">Symptoms[[#This Row],[Rank Order]]+COUNTIF(Symptoms[Rank Order],Symptoms[[#This Row],[Rank Order]])-COUNTIF(Y$4:Y15,Symptoms[[#This Row],[Rank Order]])</f>
        <v>6</v>
      </c>
      <c r="AA15" t="s">
        <v>422</v>
      </c>
      <c r="AC15" t="str">
        <f>IF('Basic Information'!A37=0,"",'Basic Information'!A37)</f>
        <v/>
      </c>
      <c r="AD15" t="str">
        <f>IF($AC15="","",COUNTIFS(LL[Reason for Line Listing],"Case",LL[Role],AD$5,LL[Area],$AC15))</f>
        <v/>
      </c>
      <c r="AE15" t="str">
        <f>IF($AC15="","",COUNTIFS(LL[Reason for Line Listing],"Case",LL[Role],AE$5,LL[Area],$AC15))</f>
        <v/>
      </c>
      <c r="AF15" t="str">
        <f t="shared" si="9"/>
        <v/>
      </c>
      <c r="AG15" t="str">
        <f>IF($AC15="","",COUNTIFS(LL[Reason for Line Listing],"Case",LL[Area],$AC15))</f>
        <v/>
      </c>
      <c r="AH15" t="str">
        <f>IFERROR(_xlfn.XLOOKUP($AC15,SpecificArea[Specific Area],SpecificArea[Staff (Vaccinated)])+_xlfn.XLOOKUP($AC15,SpecificArea[Specific Area],SpecificArea[Staff (Not vaccinated / unknown)]),"")</f>
        <v/>
      </c>
      <c r="AI15" t="str">
        <f>IFERROR(_xlfn.XLOOKUP($AC15,SpecificArea[Specific Area],SpecificArea[Residents (Vaccinated)])+_xlfn.XLOOKUP($AC15,SpecificArea[Specific Area],SpecificArea[Residents (Not vaccinated or unknown)]),"")</f>
        <v/>
      </c>
      <c r="AJ15" t="str">
        <f t="shared" si="10"/>
        <v/>
      </c>
      <c r="AK15" s="141" t="str">
        <f t="shared" si="11"/>
        <v/>
      </c>
      <c r="AL15" s="141" t="str">
        <f t="shared" si="12"/>
        <v/>
      </c>
      <c r="AM15" s="141" t="str">
        <f t="shared" si="13"/>
        <v/>
      </c>
      <c r="AN15" t="str">
        <f t="shared" si="14"/>
        <v/>
      </c>
      <c r="AU15" s="107" t="str">
        <f>IF(ISBLANK('Basic Information'!A32),"",'Basic Information'!A32&amp;": "&amp;COUNTIFS(LL[Reason for Line Listing],"Case",LL[Area],'Basic Information'!A32,LL[Vaccinated - COVID],"Y"))</f>
        <v/>
      </c>
      <c r="AV15" t="str">
        <f>IF(COUNTIFS(LL[Reason for Line Listing],"Case",LL[Area],'Basic Information'!A32,LL[Vaccinated - COVID],"Y")=0,"","Cases among vaccinated people in the "&amp;'Basic Information'!A32&amp;" numbered "&amp;COUNTIFS(LL[Reason for Line Listing],"Case",LL[Area],'Basic Information'!A32,LL[Vaccinated - COVID],"Y")&amp;". " )</f>
        <v/>
      </c>
    </row>
    <row r="16" spans="1:48" x14ac:dyDescent="0.3">
      <c r="A16" s="106" t="str">
        <f>IF(A15="","",IF(A15=MAX(LL[Day 0]),"",A15+1))</f>
        <v/>
      </c>
      <c r="B16" t="str">
        <f>IF($A16="","",COUNTIFS(LL[Reason for Line Listing],"Case",LL[Role],B$3,LL[Day 0],$A16))</f>
        <v/>
      </c>
      <c r="C16" t="str">
        <f>IF($A16="","",COUNTIFS(LL[Reason for Line Listing],"Case",LL[Role],C$3,LL[Day 0],$A16))</f>
        <v/>
      </c>
      <c r="D16" t="str">
        <f>IF($A16="","",COUNTIFS(LL[Reason for Line Listing],"Case",LL[Role],D$3,LL[Day 0],$A16))</f>
        <v/>
      </c>
      <c r="E16" t="str">
        <f>IF($A16="","",COUNTIFS(LL[Reason for Line Listing],"Case",LL[Role],E$3,LL[Day 0],$A16))</f>
        <v/>
      </c>
      <c r="F16" t="str">
        <f>IF($A16="","",COUNTIFS(LL[Reason for Line Listing],"Case",LL[Role],F$3,LL[Day 0],$A16))</f>
        <v/>
      </c>
      <c r="G16" t="str">
        <f>IF($A16="","",COUNTIFS(LL[Reason for Line Listing],"Case",LL[Role],G$3,LL[Day 0],$A16))</f>
        <v/>
      </c>
      <c r="H16" t="str">
        <f>IF($A16="","",COUNTIFS(LL[Reason for Line Listing],"Case",LL[Role],H$3,LL[Day 0],$A16))</f>
        <v/>
      </c>
      <c r="I16" t="str">
        <f>IF($A16="","",COUNTIFS(LL[Reason for Line Listing],"Case",LL[Role],I$3,LL[Day 0],$A16))</f>
        <v/>
      </c>
      <c r="J16" t="str">
        <f>IF($A16="","",COUNTIFS(LL[Reason for Line Listing],"Case",LL[Role],J$3,LL[Day 0],$A16))</f>
        <v/>
      </c>
      <c r="K16" s="145" t="str">
        <f t="shared" si="1"/>
        <v/>
      </c>
      <c r="M16" s="43" t="s">
        <v>708</v>
      </c>
      <c r="N16">
        <f ca="1">COUNTIFS(INDIRECT("LL["&amp;$M16&amp;"]"),"&lt;&gt;",LL[Reason for Line Listing],"Case")</f>
        <v>0</v>
      </c>
      <c r="O16">
        <f ca="1">COUNTIFS(INDIRECT("LL["&amp;$M16&amp;"]"),"&lt;&gt;",LL[Reason for Line Listing],"Case",LL[Sex],O$3)</f>
        <v>0</v>
      </c>
      <c r="P16">
        <f ca="1">COUNTIFS(INDIRECT("LL["&amp;$M16&amp;"]"),"&lt;&gt;",LL[Reason for Line Listing],"Case",LL[Sex],P$3)</f>
        <v>0</v>
      </c>
      <c r="Q16">
        <f t="shared" ca="1" si="2"/>
        <v>0</v>
      </c>
      <c r="R16" t="e">
        <f t="shared" ca="1" si="3"/>
        <v>#DIV/0!</v>
      </c>
      <c r="S16" t="e">
        <f t="shared" ca="1" si="4"/>
        <v>#DIV/0!</v>
      </c>
      <c r="T16" t="e">
        <f t="shared" ca="1" si="5"/>
        <v>#DIV/0!</v>
      </c>
      <c r="U16" t="e">
        <f t="shared" ca="1" si="6"/>
        <v>#DIV/0!</v>
      </c>
      <c r="V16" t="e">
        <f t="shared" ca="1" si="7"/>
        <v>#DIV/0!</v>
      </c>
      <c r="W16" t="e">
        <f t="shared" ca="1" si="8"/>
        <v>#DIV/0!</v>
      </c>
      <c r="X16">
        <v>13</v>
      </c>
      <c r="Y16">
        <f ca="1">RANK(Symptoms[[#This Row],[Total]],Symptoms[Total],0)</f>
        <v>1</v>
      </c>
      <c r="Z16">
        <f ca="1">Symptoms[[#This Row],[Rank Order]]+COUNTIF(Symptoms[Rank Order],Symptoms[[#This Row],[Rank Order]])-COUNTIF(Y$4:Y16,Symptoms[[#This Row],[Rank Order]])</f>
        <v>5</v>
      </c>
      <c r="AA16" t="s">
        <v>424</v>
      </c>
      <c r="AC16" t="str">
        <f>IF('Basic Information'!A38=0,"",'Basic Information'!A38)</f>
        <v/>
      </c>
      <c r="AD16" t="str">
        <f>IF($AC16="","",COUNTIFS(LL[Reason for Line Listing],"Case",LL[Role],AD$5,LL[Area],$AC16))</f>
        <v/>
      </c>
      <c r="AE16" t="str">
        <f>IF($AC16="","",COUNTIFS(LL[Reason for Line Listing],"Case",LL[Role],AE$5,LL[Area],$AC16))</f>
        <v/>
      </c>
      <c r="AF16" t="str">
        <f t="shared" si="9"/>
        <v/>
      </c>
      <c r="AG16" t="str">
        <f>IF($AC16="","",COUNTIFS(LL[Reason for Line Listing],"Case",LL[Area],$AC16))</f>
        <v/>
      </c>
      <c r="AH16" t="str">
        <f>IFERROR(_xlfn.XLOOKUP($AC16,SpecificArea[Specific Area],SpecificArea[Staff (Vaccinated)])+_xlfn.XLOOKUP($AC16,SpecificArea[Specific Area],SpecificArea[Staff (Not vaccinated / unknown)]),"")</f>
        <v/>
      </c>
      <c r="AI16" t="str">
        <f>IFERROR(_xlfn.XLOOKUP($AC16,SpecificArea[Specific Area],SpecificArea[Residents (Vaccinated)])+_xlfn.XLOOKUP($AC16,SpecificArea[Specific Area],SpecificArea[Residents (Not vaccinated or unknown)]),"")</f>
        <v/>
      </c>
      <c r="AJ16" t="str">
        <f t="shared" si="10"/>
        <v/>
      </c>
      <c r="AK16" s="141" t="str">
        <f t="shared" si="11"/>
        <v/>
      </c>
      <c r="AL16" s="141" t="str">
        <f t="shared" si="12"/>
        <v/>
      </c>
      <c r="AM16" s="141" t="str">
        <f t="shared" si="13"/>
        <v/>
      </c>
      <c r="AN16" t="str">
        <f t="shared" si="14"/>
        <v/>
      </c>
      <c r="AU16" s="107" t="str">
        <f>IF(ISBLANK('Basic Information'!A33),"",'Basic Information'!A33&amp;": "&amp;COUNTIFS(LL[Reason for Line Listing],"Case",LL[Area],'Basic Information'!A33,LL[Vaccinated - COVID],"Y"))</f>
        <v/>
      </c>
      <c r="AV16" t="str">
        <f>IF(COUNTIFS(LL[Reason for Line Listing],"Case",LL[Area],'Basic Information'!A33,LL[Vaccinated - COVID],"Y")=0,"","Cases among vaccinated people in the "&amp;'Basic Information'!A33&amp;" numbered "&amp;COUNTIFS(LL[Reason for Line Listing],"Case",LL[Area],'Basic Information'!A33,LL[Vaccinated - COVID],"Y")&amp;". " )</f>
        <v/>
      </c>
    </row>
    <row r="17" spans="1:48" x14ac:dyDescent="0.3">
      <c r="A17" s="106" t="str">
        <f>IF(A16="","",IF(A16=MAX(LL[Day 0]),"",A16+1))</f>
        <v/>
      </c>
      <c r="B17" t="str">
        <f>IF($A17="","",COUNTIFS(LL[Reason for Line Listing],"Case",LL[Role],B$3,LL[Day 0],$A17))</f>
        <v/>
      </c>
      <c r="C17" t="str">
        <f>IF($A17="","",COUNTIFS(LL[Reason for Line Listing],"Case",LL[Role],C$3,LL[Day 0],$A17))</f>
        <v/>
      </c>
      <c r="D17" t="str">
        <f>IF($A17="","",COUNTIFS(LL[Reason for Line Listing],"Case",LL[Role],D$3,LL[Day 0],$A17))</f>
        <v/>
      </c>
      <c r="E17" t="str">
        <f>IF($A17="","",COUNTIFS(LL[Reason for Line Listing],"Case",LL[Role],E$3,LL[Day 0],$A17))</f>
        <v/>
      </c>
      <c r="F17" t="str">
        <f>IF($A17="","",COUNTIFS(LL[Reason for Line Listing],"Case",LL[Role],F$3,LL[Day 0],$A17))</f>
        <v/>
      </c>
      <c r="G17" t="str">
        <f>IF($A17="","",COUNTIFS(LL[Reason for Line Listing],"Case",LL[Role],G$3,LL[Day 0],$A17))</f>
        <v/>
      </c>
      <c r="H17" t="str">
        <f>IF($A17="","",COUNTIFS(LL[Reason for Line Listing],"Case",LL[Role],H$3,LL[Day 0],$A17))</f>
        <v/>
      </c>
      <c r="I17" t="str">
        <f>IF($A17="","",COUNTIFS(LL[Reason for Line Listing],"Case",LL[Role],I$3,LL[Day 0],$A17))</f>
        <v/>
      </c>
      <c r="J17" t="str">
        <f>IF($A17="","",COUNTIFS(LL[Reason for Line Listing],"Case",LL[Role],J$3,LL[Day 0],$A17))</f>
        <v/>
      </c>
      <c r="K17" s="145" t="str">
        <f t="shared" si="1"/>
        <v/>
      </c>
      <c r="M17" s="43" t="s">
        <v>48</v>
      </c>
      <c r="N17">
        <f ca="1">COUNTIFS(INDIRECT("LL["&amp;$M17&amp;"]"),"&lt;&gt;",LL[Reason for Line Listing],"Case")</f>
        <v>0</v>
      </c>
      <c r="O17">
        <f ca="1">COUNTIFS(INDIRECT("LL["&amp;$M17&amp;"]"),"&lt;&gt;",LL[Reason for Line Listing],"Case",LL[Sex],O$3)</f>
        <v>0</v>
      </c>
      <c r="P17">
        <f ca="1">COUNTIFS(INDIRECT("LL["&amp;$M17&amp;"]"),"&lt;&gt;",LL[Reason for Line Listing],"Case",LL[Sex],P$3)</f>
        <v>0</v>
      </c>
      <c r="Q17">
        <f t="shared" ca="1" si="2"/>
        <v>0</v>
      </c>
      <c r="R17" t="e">
        <f t="shared" ca="1" si="3"/>
        <v>#DIV/0!</v>
      </c>
      <c r="S17" t="e">
        <f t="shared" ca="1" si="4"/>
        <v>#DIV/0!</v>
      </c>
      <c r="T17" t="e">
        <f t="shared" ca="1" si="5"/>
        <v>#DIV/0!</v>
      </c>
      <c r="U17" t="e">
        <f t="shared" ca="1" si="6"/>
        <v>#DIV/0!</v>
      </c>
      <c r="V17" t="e">
        <f t="shared" ca="1" si="7"/>
        <v>#DIV/0!</v>
      </c>
      <c r="W17" t="e">
        <f t="shared" ca="1" si="8"/>
        <v>#DIV/0!</v>
      </c>
      <c r="X17">
        <v>14</v>
      </c>
      <c r="Y17">
        <f ca="1">RANK(Symptoms[[#This Row],[Total]],Symptoms[Total],0)</f>
        <v>1</v>
      </c>
      <c r="Z17">
        <f ca="1">Symptoms[[#This Row],[Rank Order]]+COUNTIF(Symptoms[Rank Order],Symptoms[[#This Row],[Rank Order]])-COUNTIF(Y$4:Y17,Symptoms[[#This Row],[Rank Order]])</f>
        <v>4</v>
      </c>
      <c r="AA17" t="s">
        <v>424</v>
      </c>
      <c r="AC17" t="str">
        <f>IF('Basic Information'!A39=0,"",'Basic Information'!A39)</f>
        <v/>
      </c>
      <c r="AD17" t="str">
        <f>IF($AC17="","",COUNTIFS(LL[Reason for Line Listing],"Case",LL[Role],AD$5,LL[Area],$AC17))</f>
        <v/>
      </c>
      <c r="AE17" t="str">
        <f>IF($AC17="","",COUNTIFS(LL[Reason for Line Listing],"Case",LL[Role],AE$5,LL[Area],$AC17))</f>
        <v/>
      </c>
      <c r="AF17" t="str">
        <f t="shared" si="9"/>
        <v/>
      </c>
      <c r="AG17" t="str">
        <f>IF($AC17="","",COUNTIFS(LL[Reason for Line Listing],"Case",LL[Area],$AC17))</f>
        <v/>
      </c>
      <c r="AH17" t="str">
        <f>IFERROR(_xlfn.XLOOKUP($AC17,SpecificArea[Specific Area],SpecificArea[Staff (Vaccinated)])+_xlfn.XLOOKUP($AC17,SpecificArea[Specific Area],SpecificArea[Staff (Not vaccinated / unknown)]),"")</f>
        <v/>
      </c>
      <c r="AI17" t="str">
        <f>IFERROR(_xlfn.XLOOKUP($AC17,SpecificArea[Specific Area],SpecificArea[Residents (Vaccinated)])+_xlfn.XLOOKUP($AC17,SpecificArea[Specific Area],SpecificArea[Residents (Not vaccinated or unknown)]),"")</f>
        <v/>
      </c>
      <c r="AJ17" t="str">
        <f t="shared" si="10"/>
        <v/>
      </c>
      <c r="AK17" s="141" t="str">
        <f t="shared" si="11"/>
        <v/>
      </c>
      <c r="AL17" s="141" t="str">
        <f t="shared" si="12"/>
        <v/>
      </c>
      <c r="AM17" s="141" t="str">
        <f t="shared" si="13"/>
        <v/>
      </c>
      <c r="AN17" t="str">
        <f t="shared" si="14"/>
        <v/>
      </c>
      <c r="AU17" s="107" t="str">
        <f>IF(ISBLANK('Basic Information'!A34),"",'Basic Information'!A34&amp;": "&amp;COUNTIFS(LL[Reason for Line Listing],"Case",LL[Area],'Basic Information'!A34,LL[Vaccinated - COVID],"Y"))</f>
        <v/>
      </c>
      <c r="AV17" t="str">
        <f>IF(COUNTIFS(LL[Reason for Line Listing],"Case",LL[Area],'Basic Information'!A34,LL[Vaccinated - COVID],"Y")=0,"","Cases among vaccinated people in the "&amp;'Basic Information'!A34&amp;" numbered "&amp;COUNTIFS(LL[Reason for Line Listing],"Case",LL[Area],'Basic Information'!A34,LL[Vaccinated - COVID],"Y")&amp;". " )</f>
        <v/>
      </c>
    </row>
    <row r="18" spans="1:48" x14ac:dyDescent="0.3">
      <c r="A18" s="106" t="str">
        <f>IF(A17="","",IF(A17=MAX(LL[Day 0]),"",A17+1))</f>
        <v/>
      </c>
      <c r="B18" t="str">
        <f>IF($A18="","",COUNTIFS(LL[Reason for Line Listing],"Case",LL[Role],B$3,LL[Day 0],$A18))</f>
        <v/>
      </c>
      <c r="C18" t="str">
        <f>IF($A18="","",COUNTIFS(LL[Reason for Line Listing],"Case",LL[Role],C$3,LL[Day 0],$A18))</f>
        <v/>
      </c>
      <c r="D18" t="str">
        <f>IF($A18="","",COUNTIFS(LL[Reason for Line Listing],"Case",LL[Role],D$3,LL[Day 0],$A18))</f>
        <v/>
      </c>
      <c r="E18" t="str">
        <f>IF($A18="","",COUNTIFS(LL[Reason for Line Listing],"Case",LL[Role],E$3,LL[Day 0],$A18))</f>
        <v/>
      </c>
      <c r="F18" t="str">
        <f>IF($A18="","",COUNTIFS(LL[Reason for Line Listing],"Case",LL[Role],F$3,LL[Day 0],$A18))</f>
        <v/>
      </c>
      <c r="G18" t="str">
        <f>IF($A18="","",COUNTIFS(LL[Reason for Line Listing],"Case",LL[Role],G$3,LL[Day 0],$A18))</f>
        <v/>
      </c>
      <c r="H18" t="str">
        <f>IF($A18="","",COUNTIFS(LL[Reason for Line Listing],"Case",LL[Role],H$3,LL[Day 0],$A18))</f>
        <v/>
      </c>
      <c r="I18" t="str">
        <f>IF($A18="","",COUNTIFS(LL[Reason for Line Listing],"Case",LL[Role],I$3,LL[Day 0],$A18))</f>
        <v/>
      </c>
      <c r="J18" t="str">
        <f>IF($A18="","",COUNTIFS(LL[Reason for Line Listing],"Case",LL[Role],J$3,LL[Day 0],$A18))</f>
        <v/>
      </c>
      <c r="K18" s="145" t="str">
        <f t="shared" si="1"/>
        <v/>
      </c>
      <c r="M18" s="43" t="s">
        <v>49</v>
      </c>
      <c r="N18">
        <f ca="1">COUNTIFS(INDIRECT("LL["&amp;$M18&amp;"]"),"&lt;&gt;",LL[Reason for Line Listing],"Case")</f>
        <v>0</v>
      </c>
      <c r="O18">
        <f ca="1">COUNTIFS(INDIRECT("LL["&amp;$M18&amp;"]"),"&lt;&gt;",LL[Reason for Line Listing],"Case",LL[Sex],O$3)</f>
        <v>0</v>
      </c>
      <c r="P18">
        <f ca="1">COUNTIFS(INDIRECT("LL["&amp;$M18&amp;"]"),"&lt;&gt;",LL[Reason for Line Listing],"Case",LL[Sex],P$3)</f>
        <v>0</v>
      </c>
      <c r="Q18">
        <f t="shared" ca="1" si="2"/>
        <v>0</v>
      </c>
      <c r="R18" t="e">
        <f t="shared" ca="1" si="3"/>
        <v>#DIV/0!</v>
      </c>
      <c r="S18" t="e">
        <f t="shared" ca="1" si="4"/>
        <v>#DIV/0!</v>
      </c>
      <c r="T18" t="e">
        <f t="shared" ca="1" si="5"/>
        <v>#DIV/0!</v>
      </c>
      <c r="U18" t="e">
        <f t="shared" ca="1" si="6"/>
        <v>#DIV/0!</v>
      </c>
      <c r="V18" t="e">
        <f t="shared" ca="1" si="7"/>
        <v>#DIV/0!</v>
      </c>
      <c r="W18" t="e">
        <f t="shared" ca="1" si="8"/>
        <v>#DIV/0!</v>
      </c>
      <c r="X18">
        <v>15</v>
      </c>
      <c r="Y18">
        <f ca="1">RANK(Symptoms[[#This Row],[Total]],Symptoms[Total],0)</f>
        <v>1</v>
      </c>
      <c r="Z18">
        <f ca="1">Symptoms[[#This Row],[Rank Order]]+COUNTIF(Symptoms[Rank Order],Symptoms[[#This Row],[Rank Order]])-COUNTIF(Y$4:Y18,Symptoms[[#This Row],[Rank Order]])</f>
        <v>3</v>
      </c>
      <c r="AA18" t="s">
        <v>424</v>
      </c>
      <c r="AC18" t="str">
        <f>IF('Basic Information'!A40=0,"",'Basic Information'!A40)</f>
        <v/>
      </c>
      <c r="AD18" t="str">
        <f>IF($AC18="","",COUNTIFS(LL[Reason for Line Listing],"Case",LL[Role],AD$5,LL[Area],$AC18))</f>
        <v/>
      </c>
      <c r="AE18" t="str">
        <f>IF($AC18="","",COUNTIFS(LL[Reason for Line Listing],"Case",LL[Role],AE$5,LL[Area],$AC18))</f>
        <v/>
      </c>
      <c r="AF18" t="str">
        <f t="shared" si="9"/>
        <v/>
      </c>
      <c r="AG18" t="str">
        <f>IF($AC18="","",COUNTIFS(LL[Reason for Line Listing],"Case",LL[Area],$AC18))</f>
        <v/>
      </c>
      <c r="AH18" t="str">
        <f>IFERROR(_xlfn.XLOOKUP($AC18,SpecificArea[Specific Area],SpecificArea[Staff (Vaccinated)])+_xlfn.XLOOKUP($AC18,SpecificArea[Specific Area],SpecificArea[Staff (Not vaccinated / unknown)]),"")</f>
        <v/>
      </c>
      <c r="AI18" t="str">
        <f>IFERROR(_xlfn.XLOOKUP($AC18,SpecificArea[Specific Area],SpecificArea[Residents (Vaccinated)])+_xlfn.XLOOKUP($AC18,SpecificArea[Specific Area],SpecificArea[Residents (Not vaccinated or unknown)]),"")</f>
        <v/>
      </c>
      <c r="AJ18" t="str">
        <f t="shared" si="10"/>
        <v/>
      </c>
      <c r="AK18" s="141" t="str">
        <f t="shared" si="11"/>
        <v/>
      </c>
      <c r="AL18" s="141" t="str">
        <f t="shared" si="12"/>
        <v/>
      </c>
      <c r="AM18" s="141" t="str">
        <f t="shared" si="13"/>
        <v/>
      </c>
      <c r="AN18" t="str">
        <f t="shared" si="14"/>
        <v/>
      </c>
      <c r="AU18" s="107" t="str">
        <f>IF(ISBLANK('Basic Information'!A35),"",'Basic Information'!A35&amp;": "&amp;COUNTIFS(LL[Reason for Line Listing],"Case",LL[Area],'Basic Information'!A35,LL[Vaccinated - COVID],"Y"))</f>
        <v/>
      </c>
      <c r="AV18" t="str">
        <f>IF(COUNTIFS(LL[Reason for Line Listing],"Case",LL[Area],'Basic Information'!A35,LL[Vaccinated - COVID],"Y")=0,"","Cases among vaccinated people in the "&amp;'Basic Information'!A35&amp;" numbered "&amp;COUNTIFS(LL[Reason for Line Listing],"Case",LL[Area],'Basic Information'!A35,LL[Vaccinated - COVID],"Y")&amp;". " )</f>
        <v/>
      </c>
    </row>
    <row r="19" spans="1:48" x14ac:dyDescent="0.3">
      <c r="A19" s="106" t="str">
        <f>IF(A18="","",IF(A18=MAX(LL[Day 0]),"",A18+1))</f>
        <v/>
      </c>
      <c r="B19" t="str">
        <f>IF($A19="","",COUNTIFS(LL[Reason for Line Listing],"Case",LL[Role],B$3,LL[Day 0],$A19))</f>
        <v/>
      </c>
      <c r="C19" t="str">
        <f>IF($A19="","",COUNTIFS(LL[Reason for Line Listing],"Case",LL[Role],C$3,LL[Day 0],$A19))</f>
        <v/>
      </c>
      <c r="D19" t="str">
        <f>IF($A19="","",COUNTIFS(LL[Reason for Line Listing],"Case",LL[Role],D$3,LL[Day 0],$A19))</f>
        <v/>
      </c>
      <c r="E19" t="str">
        <f>IF($A19="","",COUNTIFS(LL[Reason for Line Listing],"Case",LL[Role],E$3,LL[Day 0],$A19))</f>
        <v/>
      </c>
      <c r="F19" t="str">
        <f>IF($A19="","",COUNTIFS(LL[Reason for Line Listing],"Case",LL[Role],F$3,LL[Day 0],$A19))</f>
        <v/>
      </c>
      <c r="G19" t="str">
        <f>IF($A19="","",COUNTIFS(LL[Reason for Line Listing],"Case",LL[Role],G$3,LL[Day 0],$A19))</f>
        <v/>
      </c>
      <c r="H19" t="str">
        <f>IF($A19="","",COUNTIFS(LL[Reason for Line Listing],"Case",LL[Role],H$3,LL[Day 0],$A19))</f>
        <v/>
      </c>
      <c r="I19" t="str">
        <f>IF($A19="","",COUNTIFS(LL[Reason for Line Listing],"Case",LL[Role],I$3,LL[Day 0],$A19))</f>
        <v/>
      </c>
      <c r="J19" t="str">
        <f>IF($A19="","",COUNTIFS(LL[Reason for Line Listing],"Case",LL[Role],J$3,LL[Day 0],$A19))</f>
        <v/>
      </c>
      <c r="K19" s="145" t="str">
        <f t="shared" si="1"/>
        <v/>
      </c>
      <c r="M19" s="43" t="s">
        <v>50</v>
      </c>
      <c r="N19">
        <f ca="1">COUNTIFS(INDIRECT("LL["&amp;$M19&amp;"]"),"&lt;&gt;",LL[Reason for Line Listing],"Case")</f>
        <v>0</v>
      </c>
      <c r="O19">
        <f ca="1">COUNTIFS(INDIRECT("LL["&amp;$M19&amp;"]"),"&lt;&gt;",LL[Reason for Line Listing],"Case",LL[Sex],O$3)</f>
        <v>0</v>
      </c>
      <c r="P19">
        <f ca="1">COUNTIFS(INDIRECT("LL["&amp;$M19&amp;"]"),"&lt;&gt;",LL[Reason for Line Listing],"Case",LL[Sex],P$3)</f>
        <v>0</v>
      </c>
      <c r="Q19">
        <f t="shared" ca="1" si="2"/>
        <v>0</v>
      </c>
      <c r="R19" t="e">
        <f t="shared" ca="1" si="3"/>
        <v>#DIV/0!</v>
      </c>
      <c r="S19" t="e">
        <f t="shared" ca="1" si="4"/>
        <v>#DIV/0!</v>
      </c>
      <c r="T19" t="e">
        <f t="shared" ca="1" si="5"/>
        <v>#DIV/0!</v>
      </c>
      <c r="U19" t="e">
        <f t="shared" ca="1" si="6"/>
        <v>#DIV/0!</v>
      </c>
      <c r="V19" t="e">
        <f t="shared" ca="1" si="7"/>
        <v>#DIV/0!</v>
      </c>
      <c r="W19" t="e">
        <f t="shared" ca="1" si="8"/>
        <v>#DIV/0!</v>
      </c>
      <c r="X19">
        <v>16</v>
      </c>
      <c r="Y19">
        <f ca="1">RANK(Symptoms[[#This Row],[Total]],Symptoms[Total],0)</f>
        <v>1</v>
      </c>
      <c r="Z19">
        <f ca="1">Symptoms[[#This Row],[Rank Order]]+COUNTIF(Symptoms[Rank Order],Symptoms[[#This Row],[Rank Order]])-COUNTIF(Y$4:Y19,Symptoms[[#This Row],[Rank Order]])</f>
        <v>2</v>
      </c>
      <c r="AA19" t="s">
        <v>424</v>
      </c>
      <c r="AC19" t="str">
        <f>IF('Basic Information'!A41=0,"",'Basic Information'!A41)</f>
        <v/>
      </c>
      <c r="AD19" t="str">
        <f>IF($AC19="","",COUNTIFS(LL[Reason for Line Listing],"Case",LL[Role],AD$5,LL[Area],$AC19))</f>
        <v/>
      </c>
      <c r="AE19" t="str">
        <f>IF($AC19="","",COUNTIFS(LL[Reason for Line Listing],"Case",LL[Role],AE$5,LL[Area],$AC19))</f>
        <v/>
      </c>
      <c r="AF19" t="str">
        <f t="shared" si="9"/>
        <v/>
      </c>
      <c r="AG19" t="str">
        <f>IF($AC19="","",COUNTIFS(LL[Reason for Line Listing],"Case",LL[Area],$AC19))</f>
        <v/>
      </c>
      <c r="AH19" t="str">
        <f>IFERROR(_xlfn.XLOOKUP($AC19,SpecificArea[Specific Area],SpecificArea[Staff (Vaccinated)])+_xlfn.XLOOKUP($AC19,SpecificArea[Specific Area],SpecificArea[Staff (Not vaccinated / unknown)]),"")</f>
        <v/>
      </c>
      <c r="AI19" t="str">
        <f>IFERROR(_xlfn.XLOOKUP($AC19,SpecificArea[Specific Area],SpecificArea[Residents (Vaccinated)])+_xlfn.XLOOKUP($AC19,SpecificArea[Specific Area],SpecificArea[Residents (Not vaccinated or unknown)]),"")</f>
        <v/>
      </c>
      <c r="AJ19" t="str">
        <f t="shared" si="10"/>
        <v/>
      </c>
      <c r="AK19" s="141" t="str">
        <f t="shared" si="11"/>
        <v/>
      </c>
      <c r="AL19" s="141" t="str">
        <f t="shared" si="12"/>
        <v/>
      </c>
      <c r="AM19" s="141" t="str">
        <f t="shared" si="13"/>
        <v/>
      </c>
      <c r="AN19" t="str">
        <f t="shared" si="14"/>
        <v/>
      </c>
      <c r="AU19" s="107" t="str">
        <f>IF(ISBLANK('Basic Information'!A36),"",'Basic Information'!A36&amp;": "&amp;COUNTIFS(LL[Reason for Line Listing],"Case",LL[Area],'Basic Information'!A36,LL[Vaccinated - COVID],"Y"))</f>
        <v/>
      </c>
      <c r="AV19" t="str">
        <f>IF(COUNTIFS(LL[Reason for Line Listing],"Case",LL[Area],'Basic Information'!A36,LL[Vaccinated - COVID],"Y")=0,"","Cases among vaccinated people in the "&amp;'Basic Information'!A36&amp;" numbered "&amp;COUNTIFS(LL[Reason for Line Listing],"Case",LL[Area],'Basic Information'!A36,LL[Vaccinated - COVID],"Y")&amp;". " )</f>
        <v/>
      </c>
    </row>
    <row r="20" spans="1:48" x14ac:dyDescent="0.3">
      <c r="A20" s="106" t="str">
        <f>IF(A19="","",IF(A19=MAX(LL[Day 0]),"",A19+1))</f>
        <v/>
      </c>
      <c r="B20" t="str">
        <f>IF($A20="","",COUNTIFS(LL[Reason for Line Listing],"Case",LL[Role],B$3,LL[Day 0],$A20))</f>
        <v/>
      </c>
      <c r="C20" t="str">
        <f>IF($A20="","",COUNTIFS(LL[Reason for Line Listing],"Case",LL[Role],C$3,LL[Day 0],$A20))</f>
        <v/>
      </c>
      <c r="D20" t="str">
        <f>IF($A20="","",COUNTIFS(LL[Reason for Line Listing],"Case",LL[Role],D$3,LL[Day 0],$A20))</f>
        <v/>
      </c>
      <c r="E20" t="str">
        <f>IF($A20="","",COUNTIFS(LL[Reason for Line Listing],"Case",LL[Role],E$3,LL[Day 0],$A20))</f>
        <v/>
      </c>
      <c r="F20" t="str">
        <f>IF($A20="","",COUNTIFS(LL[Reason for Line Listing],"Case",LL[Role],F$3,LL[Day 0],$A20))</f>
        <v/>
      </c>
      <c r="G20" t="str">
        <f>IF($A20="","",COUNTIFS(LL[Reason for Line Listing],"Case",LL[Role],G$3,LL[Day 0],$A20))</f>
        <v/>
      </c>
      <c r="H20" t="str">
        <f>IF($A20="","",COUNTIFS(LL[Reason for Line Listing],"Case",LL[Role],H$3,LL[Day 0],$A20))</f>
        <v/>
      </c>
      <c r="I20" t="str">
        <f>IF($A20="","",COUNTIFS(LL[Reason for Line Listing],"Case",LL[Role],I$3,LL[Day 0],$A20))</f>
        <v/>
      </c>
      <c r="J20" t="str">
        <f>IF($A20="","",COUNTIFS(LL[Reason for Line Listing],"Case",LL[Role],J$3,LL[Day 0],$A20))</f>
        <v/>
      </c>
      <c r="K20" s="145" t="str">
        <f t="shared" si="1"/>
        <v/>
      </c>
      <c r="M20" s="43" t="s">
        <v>51</v>
      </c>
      <c r="N20">
        <f ca="1">COUNTIFS(INDIRECT("LL["&amp;$M20&amp;"]"),"&lt;&gt;",LL[Reason for Line Listing],"Case")</f>
        <v>0</v>
      </c>
      <c r="O20">
        <f ca="1">COUNTIFS(INDIRECT("LL["&amp;$M20&amp;"]"),"&lt;&gt;",LL[Reason for Line Listing],"Case",LL[Sex],O$3)</f>
        <v>0</v>
      </c>
      <c r="P20">
        <f ca="1">COUNTIFS(INDIRECT("LL["&amp;$M20&amp;"]"),"&lt;&gt;",LL[Reason for Line Listing],"Case",LL[Sex],P$3)</f>
        <v>0</v>
      </c>
      <c r="Q20">
        <f t="shared" ca="1" si="2"/>
        <v>0</v>
      </c>
      <c r="R20" t="e">
        <f t="shared" ca="1" si="3"/>
        <v>#DIV/0!</v>
      </c>
      <c r="S20" t="e">
        <f t="shared" ca="1" si="4"/>
        <v>#DIV/0!</v>
      </c>
      <c r="T20" t="e">
        <f t="shared" ca="1" si="5"/>
        <v>#DIV/0!</v>
      </c>
      <c r="U20" t="e">
        <f t="shared" ca="1" si="6"/>
        <v>#DIV/0!</v>
      </c>
      <c r="V20" t="e">
        <f t="shared" ca="1" si="7"/>
        <v>#DIV/0!</v>
      </c>
      <c r="W20" t="e">
        <f t="shared" ca="1" si="8"/>
        <v>#DIV/0!</v>
      </c>
      <c r="X20">
        <v>17</v>
      </c>
      <c r="Y20">
        <f ca="1">RANK(Symptoms[[#This Row],[Total]],Symptoms[Total],0)</f>
        <v>1</v>
      </c>
      <c r="Z20">
        <f ca="1">Symptoms[[#This Row],[Rank Order]]+COUNTIF(Symptoms[Rank Order],Symptoms[[#This Row],[Rank Order]])-COUNTIF(Y$4:Y20,Symptoms[[#This Row],[Rank Order]])</f>
        <v>1</v>
      </c>
      <c r="AC20" t="str">
        <f>IF('Basic Information'!A42=0,"",'Basic Information'!A42)</f>
        <v/>
      </c>
      <c r="AD20" t="str">
        <f>IF($AC20="","",COUNTIFS(LL[Reason for Line Listing],"Case",LL[Role],AD$5,LL[Area],$AC20))</f>
        <v/>
      </c>
      <c r="AE20" t="str">
        <f>IF($AC20="","",COUNTIFS(LL[Reason for Line Listing],"Case",LL[Role],AE$5,LL[Area],$AC20))</f>
        <v/>
      </c>
      <c r="AF20" t="str">
        <f t="shared" si="9"/>
        <v/>
      </c>
      <c r="AG20" t="str">
        <f>IF($AC20="","",COUNTIFS(LL[Reason for Line Listing],"Case",LL[Area],$AC20))</f>
        <v/>
      </c>
      <c r="AH20" t="str">
        <f>IFERROR(_xlfn.XLOOKUP($AC20,SpecificArea[Specific Area],SpecificArea[Staff (Vaccinated)])+_xlfn.XLOOKUP($AC20,SpecificArea[Specific Area],SpecificArea[Staff (Not vaccinated / unknown)]),"")</f>
        <v/>
      </c>
      <c r="AI20" t="str">
        <f>IFERROR(_xlfn.XLOOKUP($AC20,SpecificArea[Specific Area],SpecificArea[Residents (Vaccinated)])+_xlfn.XLOOKUP($AC20,SpecificArea[Specific Area],SpecificArea[Residents (Not vaccinated or unknown)]),"")</f>
        <v/>
      </c>
      <c r="AJ20" t="str">
        <f t="shared" si="10"/>
        <v/>
      </c>
      <c r="AK20" s="141" t="str">
        <f t="shared" si="11"/>
        <v/>
      </c>
      <c r="AL20" s="141" t="str">
        <f t="shared" si="12"/>
        <v/>
      </c>
      <c r="AM20" s="141" t="str">
        <f t="shared" si="13"/>
        <v/>
      </c>
      <c r="AN20" t="str">
        <f t="shared" si="14"/>
        <v/>
      </c>
      <c r="AU20" s="107" t="str">
        <f>IF(ISBLANK('Basic Information'!A37),"",'Basic Information'!A37&amp;": "&amp;COUNTIFS(LL[Reason for Line Listing],"Case",LL[Area],'Basic Information'!A37,LL[Vaccinated - COVID],"Y"))</f>
        <v/>
      </c>
      <c r="AV20" t="str">
        <f>IF(COUNTIFS(LL[Reason for Line Listing],"Case",LL[Area],'Basic Information'!A37,LL[Vaccinated - COVID],"Y")=0,"","Cases among vaccinated people in the "&amp;'Basic Information'!A37&amp;" numbered "&amp;COUNTIFS(LL[Reason for Line Listing],"Case",LL[Area],'Basic Information'!A37,LL[Vaccinated - COVID],"Y")&amp;". " )</f>
        <v/>
      </c>
    </row>
    <row r="21" spans="1:48" x14ac:dyDescent="0.3">
      <c r="A21" s="106" t="str">
        <f>IF(A20="","",IF(A20=MAX(LL[Day 0]),"",A20+1))</f>
        <v/>
      </c>
      <c r="B21" t="str">
        <f>IF($A21="","",COUNTIFS(LL[Reason for Line Listing],"Case",LL[Role],B$3,LL[Day 0],$A21))</f>
        <v/>
      </c>
      <c r="C21" t="str">
        <f>IF($A21="","",COUNTIFS(LL[Reason for Line Listing],"Case",LL[Role],C$3,LL[Day 0],$A21))</f>
        <v/>
      </c>
      <c r="D21" t="str">
        <f>IF($A21="","",COUNTIFS(LL[Reason for Line Listing],"Case",LL[Role],D$3,LL[Day 0],$A21))</f>
        <v/>
      </c>
      <c r="E21" t="str">
        <f>IF($A21="","",COUNTIFS(LL[Reason for Line Listing],"Case",LL[Role],E$3,LL[Day 0],$A21))</f>
        <v/>
      </c>
      <c r="F21" t="str">
        <f>IF($A21="","",COUNTIFS(LL[Reason for Line Listing],"Case",LL[Role],F$3,LL[Day 0],$A21))</f>
        <v/>
      </c>
      <c r="G21" t="str">
        <f>IF($A21="","",COUNTIFS(LL[Reason for Line Listing],"Case",LL[Role],G$3,LL[Day 0],$A21))</f>
        <v/>
      </c>
      <c r="H21" t="str">
        <f>IF($A21="","",COUNTIFS(LL[Reason for Line Listing],"Case",LL[Role],H$3,LL[Day 0],$A21))</f>
        <v/>
      </c>
      <c r="I21" t="str">
        <f>IF($A21="","",COUNTIFS(LL[Reason for Line Listing],"Case",LL[Role],I$3,LL[Day 0],$A21))</f>
        <v/>
      </c>
      <c r="J21" t="str">
        <f>IF($A21="","",COUNTIFS(LL[Reason for Line Listing],"Case",LL[Role],J$3,LL[Day 0],$A21))</f>
        <v/>
      </c>
      <c r="K21" s="145" t="str">
        <f t="shared" si="1"/>
        <v/>
      </c>
      <c r="M21" s="44" t="s">
        <v>425</v>
      </c>
      <c r="N21">
        <f ca="1">MAX(Symptoms[Total])</f>
        <v>0</v>
      </c>
      <c r="O21">
        <f ca="1">MAX(Symptoms[Male],Symptoms[Female])</f>
        <v>0</v>
      </c>
      <c r="AC21" t="str">
        <f>IF('Basic Information'!A43=0,"",'Basic Information'!A43)</f>
        <v/>
      </c>
      <c r="AD21" t="str">
        <f>IF($AC21="","",COUNTIFS(LL[Reason for Line Listing],"Case",LL[Role],AD$5,LL[Area],$AC21))</f>
        <v/>
      </c>
      <c r="AE21" t="str">
        <f>IF($AC21="","",COUNTIFS(LL[Reason for Line Listing],"Case",LL[Role],AE$5,LL[Area],$AC21))</f>
        <v/>
      </c>
      <c r="AF21" t="str">
        <f t="shared" si="9"/>
        <v/>
      </c>
      <c r="AG21" t="str">
        <f>IF($AC21="","",COUNTIFS(LL[Reason for Line Listing],"Case",LL[Area],$AC21))</f>
        <v/>
      </c>
      <c r="AH21" t="str">
        <f>IFERROR(_xlfn.XLOOKUP($AC21,SpecificArea[Specific Area],SpecificArea[Staff (Vaccinated)])+_xlfn.XLOOKUP($AC21,SpecificArea[Specific Area],SpecificArea[Staff (Not vaccinated / unknown)]),"")</f>
        <v/>
      </c>
      <c r="AI21" t="str">
        <f>IFERROR(_xlfn.XLOOKUP($AC21,SpecificArea[Specific Area],SpecificArea[Residents (Vaccinated)])+_xlfn.XLOOKUP($AC21,SpecificArea[Specific Area],SpecificArea[Residents (Not vaccinated or unknown)]),"")</f>
        <v/>
      </c>
      <c r="AJ21" t="str">
        <f t="shared" si="10"/>
        <v/>
      </c>
      <c r="AK21" s="141" t="str">
        <f t="shared" si="11"/>
        <v/>
      </c>
      <c r="AL21" s="141" t="str">
        <f t="shared" si="12"/>
        <v/>
      </c>
      <c r="AM21" s="141" t="str">
        <f t="shared" si="13"/>
        <v/>
      </c>
      <c r="AN21" t="str">
        <f t="shared" si="14"/>
        <v/>
      </c>
      <c r="AU21" s="107" t="str">
        <f>IF(ISBLANK('Basic Information'!A38),"",'Basic Information'!A38&amp;": "&amp;COUNTIFS(LL[Reason for Line Listing],"Case",LL[Area],'Basic Information'!A38,LL[Vaccinated - COVID],"Y"))</f>
        <v/>
      </c>
      <c r="AV21" t="str">
        <f>IF(COUNTIFS(LL[Reason for Line Listing],"Case",LL[Area],'Basic Information'!A38,LL[Vaccinated - COVID],"Y")=0,"","Cases among vaccinated people in the "&amp;'Basic Information'!A38&amp;" numbered "&amp;COUNTIFS(LL[Reason for Line Listing],"Case",LL[Area],'Basic Information'!A38,LL[Vaccinated - COVID],"Y")&amp;". " )</f>
        <v/>
      </c>
    </row>
    <row r="22" spans="1:48" x14ac:dyDescent="0.3">
      <c r="A22" s="106" t="str">
        <f>IF(A21="","",IF(A21=MAX(LL[Day 0]),"",A21+1))</f>
        <v/>
      </c>
      <c r="B22" t="str">
        <f>IF($A22="","",COUNTIFS(LL[Reason for Line Listing],"Case",LL[Role],B$3,LL[Day 0],$A22))</f>
        <v/>
      </c>
      <c r="C22" t="str">
        <f>IF($A22="","",COUNTIFS(LL[Reason for Line Listing],"Case",LL[Role],C$3,LL[Day 0],$A22))</f>
        <v/>
      </c>
      <c r="D22" t="str">
        <f>IF($A22="","",COUNTIFS(LL[Reason for Line Listing],"Case",LL[Role],D$3,LL[Day 0],$A22))</f>
        <v/>
      </c>
      <c r="E22" t="str">
        <f>IF($A22="","",COUNTIFS(LL[Reason for Line Listing],"Case",LL[Role],E$3,LL[Day 0],$A22))</f>
        <v/>
      </c>
      <c r="F22" t="str">
        <f>IF($A22="","",COUNTIFS(LL[Reason for Line Listing],"Case",LL[Role],F$3,LL[Day 0],$A22))</f>
        <v/>
      </c>
      <c r="G22" t="str">
        <f>IF($A22="","",COUNTIFS(LL[Reason for Line Listing],"Case",LL[Role],G$3,LL[Day 0],$A22))</f>
        <v/>
      </c>
      <c r="H22" t="str">
        <f>IF($A22="","",COUNTIFS(LL[Reason for Line Listing],"Case",LL[Role],H$3,LL[Day 0],$A22))</f>
        <v/>
      </c>
      <c r="I22" t="str">
        <f>IF($A22="","",COUNTIFS(LL[Reason for Line Listing],"Case",LL[Role],I$3,LL[Day 0],$A22))</f>
        <v/>
      </c>
      <c r="J22" t="str">
        <f>IF($A22="","",COUNTIFS(LL[Reason for Line Listing],"Case",LL[Role],J$3,LL[Day 0],$A22))</f>
        <v/>
      </c>
      <c r="K22" s="145" t="str">
        <f t="shared" si="1"/>
        <v/>
      </c>
      <c r="Y22" t="str">
        <f ca="1">Y23&amp;Y24&amp;Y25&amp;Y26&amp;Y27&amp;Y28&amp;Y29&amp;Y30&amp;Y31&amp;Y32&amp;Y33&amp;Y34&amp;Y35&amp;Y36&amp;Y37&amp;Y38&amp;Y39&amp;Y40</f>
        <v xml:space="preserve">What follows is an accounting of symptoms experienced by cases. There were 0 asymptomatic cases and 0 symptomatic cases. </v>
      </c>
      <c r="AC22" t="str">
        <f>IF('Basic Information'!A44=0,"",'Basic Information'!A44)</f>
        <v/>
      </c>
      <c r="AD22" t="str">
        <f>IF($AC22="","",COUNTIFS(LL[Reason for Line Listing],"Case",LL[Role],AD$5,LL[Area],$AC22))</f>
        <v/>
      </c>
      <c r="AE22" t="str">
        <f>IF($AC22="","",COUNTIFS(LL[Reason for Line Listing],"Case",LL[Role],AE$5,LL[Area],$AC22))</f>
        <v/>
      </c>
      <c r="AF22" t="str">
        <f t="shared" si="9"/>
        <v/>
      </c>
      <c r="AG22" t="str">
        <f>IF($AC22="","",COUNTIFS(LL[Reason for Line Listing],"Case",LL[Area],$AC22))</f>
        <v/>
      </c>
      <c r="AH22" t="str">
        <f>IFERROR(_xlfn.XLOOKUP($AC22,SpecificArea[Specific Area],SpecificArea[Staff (Vaccinated)])+_xlfn.XLOOKUP($AC22,SpecificArea[Specific Area],SpecificArea[Staff (Not vaccinated / unknown)]),"")</f>
        <v/>
      </c>
      <c r="AI22" t="str">
        <f>IFERROR(_xlfn.XLOOKUP($AC22,SpecificArea[Specific Area],SpecificArea[Residents (Vaccinated)])+_xlfn.XLOOKUP($AC22,SpecificArea[Specific Area],SpecificArea[Residents (Not vaccinated or unknown)]),"")</f>
        <v/>
      </c>
      <c r="AJ22" t="str">
        <f t="shared" si="10"/>
        <v/>
      </c>
      <c r="AK22" s="141" t="str">
        <f t="shared" si="11"/>
        <v/>
      </c>
      <c r="AL22" s="141" t="str">
        <f t="shared" si="12"/>
        <v/>
      </c>
      <c r="AM22" s="141" t="str">
        <f t="shared" si="13"/>
        <v/>
      </c>
      <c r="AN22" t="str">
        <f t="shared" si="14"/>
        <v/>
      </c>
      <c r="AU22" s="107" t="str">
        <f>IF(ISBLANK('Basic Information'!A39),"",'Basic Information'!A39&amp;": "&amp;COUNTIFS(LL[Reason for Line Listing],"Case",LL[Area],'Basic Information'!A39,LL[Vaccinated - COVID],"Y"))</f>
        <v/>
      </c>
      <c r="AV22" t="str">
        <f>IF(COUNTIFS(LL[Reason for Line Listing],"Case",LL[Area],'Basic Information'!A39,LL[Vaccinated - COVID],"Y")=0,"","Cases among vaccinated people in the "&amp;'Basic Information'!A39&amp;" numbered "&amp;COUNTIFS(LL[Reason for Line Listing],"Case",LL[Area],'Basic Information'!A39,LL[Vaccinated - COVID],"Y")&amp;". " )</f>
        <v/>
      </c>
    </row>
    <row r="23" spans="1:48" x14ac:dyDescent="0.3">
      <c r="A23" s="106" t="str">
        <f>IF(A22="","",IF(A22=MAX(LL[Day 0]),"",A22+1))</f>
        <v/>
      </c>
      <c r="B23" t="str">
        <f>IF($A23="","",COUNTIFS(LL[Reason for Line Listing],"Case",LL[Role],B$3,LL[Day 0],$A23))</f>
        <v/>
      </c>
      <c r="C23" t="str">
        <f>IF($A23="","",COUNTIFS(LL[Reason for Line Listing],"Case",LL[Role],C$3,LL[Day 0],$A23))</f>
        <v/>
      </c>
      <c r="D23" t="str">
        <f>IF($A23="","",COUNTIFS(LL[Reason for Line Listing],"Case",LL[Role],D$3,LL[Day 0],$A23))</f>
        <v/>
      </c>
      <c r="E23" t="str">
        <f>IF($A23="","",COUNTIFS(LL[Reason for Line Listing],"Case",LL[Role],E$3,LL[Day 0],$A23))</f>
        <v/>
      </c>
      <c r="F23" t="str">
        <f>IF($A23="","",COUNTIFS(LL[Reason for Line Listing],"Case",LL[Role],F$3,LL[Day 0],$A23))</f>
        <v/>
      </c>
      <c r="G23" t="str">
        <f>IF($A23="","",COUNTIFS(LL[Reason for Line Listing],"Case",LL[Role],G$3,LL[Day 0],$A23))</f>
        <v/>
      </c>
      <c r="H23" t="str">
        <f>IF($A23="","",COUNTIFS(LL[Reason for Line Listing],"Case",LL[Role],H$3,LL[Day 0],$A23))</f>
        <v/>
      </c>
      <c r="I23" t="str">
        <f>IF($A23="","",COUNTIFS(LL[Reason for Line Listing],"Case",LL[Role],I$3,LL[Day 0],$A23))</f>
        <v/>
      </c>
      <c r="J23" t="str">
        <f>IF($A23="","",COUNTIFS(LL[Reason for Line Listing],"Case",LL[Role],J$3,LL[Day 0],$A23))</f>
        <v/>
      </c>
      <c r="K23" s="145" t="str">
        <f t="shared" si="1"/>
        <v/>
      </c>
      <c r="Y23" s="145" t="str">
        <f>"What follows is an accounting of symptoms experienced by cases. There were "&amp;COUNTIFS(LL[Reason for Line Listing],"Case",LL[Asymptomatic?],"Y")&amp;" asymptomatic cases and "&amp;$N$2&amp;" symptomatic cases. "</f>
        <v xml:space="preserve">What follows is an accounting of symptoms experienced by cases. There were 0 asymptomatic cases and 0 symptomatic cases. </v>
      </c>
      <c r="AC23" t="str">
        <f>IF('Basic Information'!A45=0,"",'Basic Information'!A45)</f>
        <v/>
      </c>
      <c r="AD23" t="str">
        <f>IF($AC23="","",COUNTIFS(LL[Reason for Line Listing],"Case",LL[Role],AD$5,LL[Area],$AC23))</f>
        <v/>
      </c>
      <c r="AE23" t="str">
        <f>IF($AC23="","",COUNTIFS(LL[Reason for Line Listing],"Case",LL[Role],AE$5,LL[Area],$AC23))</f>
        <v/>
      </c>
      <c r="AF23" t="str">
        <f t="shared" si="9"/>
        <v/>
      </c>
      <c r="AG23" t="str">
        <f>IF($AC23="","",COUNTIFS(LL[Reason for Line Listing],"Case",LL[Area],$AC23))</f>
        <v/>
      </c>
      <c r="AH23" t="str">
        <f>IFERROR(_xlfn.XLOOKUP($AC23,SpecificArea[Specific Area],SpecificArea[Staff (Vaccinated)])+_xlfn.XLOOKUP($AC23,SpecificArea[Specific Area],SpecificArea[Staff (Not vaccinated / unknown)]),"")</f>
        <v/>
      </c>
      <c r="AI23" t="str">
        <f>IFERROR(_xlfn.XLOOKUP($AC23,SpecificArea[Specific Area],SpecificArea[Residents (Vaccinated)])+_xlfn.XLOOKUP($AC23,SpecificArea[Specific Area],SpecificArea[Residents (Not vaccinated or unknown)]),"")</f>
        <v/>
      </c>
      <c r="AJ23" t="str">
        <f t="shared" si="10"/>
        <v/>
      </c>
      <c r="AK23" s="141" t="str">
        <f t="shared" si="11"/>
        <v/>
      </c>
      <c r="AL23" s="141" t="str">
        <f t="shared" si="12"/>
        <v/>
      </c>
      <c r="AM23" s="141" t="str">
        <f t="shared" si="13"/>
        <v/>
      </c>
      <c r="AN23" t="str">
        <f t="shared" si="14"/>
        <v/>
      </c>
      <c r="AU23" s="107" t="str">
        <f>IF(ISBLANK('Basic Information'!A40),"",'Basic Information'!A40&amp;": "&amp;COUNTIFS(LL[Reason for Line Listing],"Case",LL[Area],'Basic Information'!A40,LL[Vaccinated - COVID],"Y"))</f>
        <v/>
      </c>
      <c r="AV23" t="str">
        <f>IF(COUNTIFS(LL[Reason for Line Listing],"Case",LL[Area],'Basic Information'!A40,LL[Vaccinated - COVID],"Y")=0,"","Cases among vaccinated people in the "&amp;'Basic Information'!A40&amp;" numbered "&amp;COUNTIFS(LL[Reason for Line Listing],"Case",LL[Area],'Basic Information'!A40,LL[Vaccinated - COVID],"Y")&amp;". " )</f>
        <v/>
      </c>
    </row>
    <row r="24" spans="1:48" x14ac:dyDescent="0.3">
      <c r="A24" s="106" t="str">
        <f>IF(A23="","",IF(A23=MAX(LL[Day 0]),"",A23+1))</f>
        <v/>
      </c>
      <c r="B24" t="str">
        <f>IF($A24="","",COUNTIFS(LL[Reason for Line Listing],"Case",LL[Role],B$3,LL[Day 0],$A24))</f>
        <v/>
      </c>
      <c r="C24" t="str">
        <f>IF($A24="","",COUNTIFS(LL[Reason for Line Listing],"Case",LL[Role],C$3,LL[Day 0],$A24))</f>
        <v/>
      </c>
      <c r="D24" t="str">
        <f>IF($A24="","",COUNTIFS(LL[Reason for Line Listing],"Case",LL[Role],D$3,LL[Day 0],$A24))</f>
        <v/>
      </c>
      <c r="E24" t="str">
        <f>IF($A24="","",COUNTIFS(LL[Reason for Line Listing],"Case",LL[Role],E$3,LL[Day 0],$A24))</f>
        <v/>
      </c>
      <c r="F24" t="str">
        <f>IF($A24="","",COUNTIFS(LL[Reason for Line Listing],"Case",LL[Role],F$3,LL[Day 0],$A24))</f>
        <v/>
      </c>
      <c r="G24" t="str">
        <f>IF($A24="","",COUNTIFS(LL[Reason for Line Listing],"Case",LL[Role],G$3,LL[Day 0],$A24))</f>
        <v/>
      </c>
      <c r="H24" t="str">
        <f>IF($A24="","",COUNTIFS(LL[Reason for Line Listing],"Case",LL[Role],H$3,LL[Day 0],$A24))</f>
        <v/>
      </c>
      <c r="I24" t="str">
        <f>IF($A24="","",COUNTIFS(LL[Reason for Line Listing],"Case",LL[Role],I$3,LL[Day 0],$A24))</f>
        <v/>
      </c>
      <c r="J24" t="str">
        <f>IF($A24="","",COUNTIFS(LL[Reason for Line Listing],"Case",LL[Role],J$3,LL[Day 0],$A24))</f>
        <v/>
      </c>
      <c r="K24" s="145" t="str">
        <f t="shared" si="1"/>
        <v/>
      </c>
      <c r="L24">
        <v>1</v>
      </c>
      <c r="M24" t="str">
        <f ca="1">INDEX(Symptoms[],MATCH($L24,Symptoms[Practical Rank],0),1)</f>
        <v>Other Symptoms (List)</v>
      </c>
      <c r="N24">
        <f ca="1">INDEX(Symptoms[],MATCH($L24,Symptoms[Practical Rank],0),2)</f>
        <v>0</v>
      </c>
      <c r="O24">
        <f ca="1">INDEX(Symptoms[],MATCH($L24,Symptoms[Practical Rank],0),3)</f>
        <v>0</v>
      </c>
      <c r="P24">
        <f ca="1">INDEX(Symptoms[],MATCH($L24,Symptoms[Practical Rank],0),4)</f>
        <v>0</v>
      </c>
      <c r="Q24">
        <f ca="1">INDEX(Symptoms[],MATCH($L24,Symptoms[Practical Rank],0),5)</f>
        <v>0</v>
      </c>
      <c r="R24" t="e">
        <f ca="1">INDEX(Symptoms[],MATCH($L24,Symptoms[Practical Rank],0),6)</f>
        <v>#DIV/0!</v>
      </c>
      <c r="S24" t="e">
        <f ca="1">INDEX(Symptoms[],MATCH($L24,Symptoms[Practical Rank],0),7)</f>
        <v>#DIV/0!</v>
      </c>
      <c r="T24" t="e">
        <f ca="1">INDEX(Symptoms[],MATCH($L24,Symptoms[Practical Rank],0),8)</f>
        <v>#DIV/0!</v>
      </c>
      <c r="U24" t="e">
        <f ca="1">INDEX(Symptoms[],MATCH($L24,Symptoms[Practical Rank],0),9)</f>
        <v>#DIV/0!</v>
      </c>
      <c r="V24" t="e">
        <f ca="1">INDEX(Symptoms[],MATCH($L24,Symptoms[Practical Rank],0),10)</f>
        <v>#DIV/0!</v>
      </c>
      <c r="W24" t="e">
        <f ca="1">INDEX(Symptoms[],MATCH($L24,Symptoms[Practical Rank],0),11)</f>
        <v>#DIV/0!</v>
      </c>
      <c r="X24">
        <f ca="1">INDEX(Symptoms[],MATCH($L24,Symptoms[Practical Rank],0),15)</f>
        <v>0</v>
      </c>
      <c r="Y24" s="145" t="str">
        <f ca="1">IF(N24=0,"",IF(N24=1,"There was  1 case, "&amp;ROUND(R4*100,0)&amp;" percent, with "&amp;LEFT(M24,FIND("(",M24,1)-2)&amp;". ","There were "&amp;N24&amp;" cases, "&amp;ROUND(R4*100,0)&amp;" percent, with "&amp;LEFT(M24,FIND("(",M24,1)-2)&amp;". "))</f>
        <v/>
      </c>
      <c r="AC24" t="str">
        <f>IF('Basic Information'!A46=0,"",'Basic Information'!A46)</f>
        <v/>
      </c>
      <c r="AD24" t="str">
        <f>IF($AC24="","",COUNTIFS(LL[Reason for Line Listing],"Case",LL[Role],AD$5,LL[Area],$AC24))</f>
        <v/>
      </c>
      <c r="AE24" t="str">
        <f>IF($AC24="","",COUNTIFS(LL[Reason for Line Listing],"Case",LL[Role],AE$5,LL[Area],$AC24))</f>
        <v/>
      </c>
      <c r="AF24" t="str">
        <f t="shared" si="9"/>
        <v/>
      </c>
      <c r="AG24" t="str">
        <f>IF($AC24="","",COUNTIFS(LL[Reason for Line Listing],"Case",LL[Area],$AC24))</f>
        <v/>
      </c>
      <c r="AH24" t="str">
        <f>IFERROR(_xlfn.XLOOKUP($AC24,SpecificArea[Specific Area],SpecificArea[Staff (Vaccinated)])+_xlfn.XLOOKUP($AC24,SpecificArea[Specific Area],SpecificArea[Staff (Not vaccinated / unknown)]),"")</f>
        <v/>
      </c>
      <c r="AI24" t="str">
        <f>IFERROR(_xlfn.XLOOKUP($AC24,SpecificArea[Specific Area],SpecificArea[Residents (Vaccinated)])+_xlfn.XLOOKUP($AC24,SpecificArea[Specific Area],SpecificArea[Residents (Not vaccinated or unknown)]),"")</f>
        <v/>
      </c>
      <c r="AJ24" t="str">
        <f t="shared" si="10"/>
        <v/>
      </c>
      <c r="AK24" s="141" t="str">
        <f t="shared" si="11"/>
        <v/>
      </c>
      <c r="AL24" s="141" t="str">
        <f t="shared" si="12"/>
        <v/>
      </c>
      <c r="AM24" s="141" t="str">
        <f t="shared" si="13"/>
        <v/>
      </c>
      <c r="AN24" t="str">
        <f t="shared" si="14"/>
        <v/>
      </c>
      <c r="AU24" s="107" t="str">
        <f>IF(ISBLANK('Basic Information'!A41),"",'Basic Information'!A41&amp;": "&amp;COUNTIFS(LL[Reason for Line Listing],"Case",LL[Area],'Basic Information'!A41,LL[Vaccinated - COVID],"Y"))</f>
        <v/>
      </c>
      <c r="AV24" t="str">
        <f>IF(COUNTIFS(LL[Reason for Line Listing],"Case",LL[Area],'Basic Information'!A41,LL[Vaccinated - COVID],"Y")=0,"","Cases among vaccinated people in the "&amp;'Basic Information'!A41&amp;" numbered "&amp;COUNTIFS(LL[Reason for Line Listing],"Case",LL[Area],'Basic Information'!A41,LL[Vaccinated - COVID],"Y")&amp;". " )</f>
        <v/>
      </c>
    </row>
    <row r="25" spans="1:48" x14ac:dyDescent="0.3">
      <c r="A25" s="106" t="str">
        <f>IF(A24="","",IF(A24=MAX(LL[Day 0]),"",A24+1))</f>
        <v/>
      </c>
      <c r="B25" t="str">
        <f>IF($A25="","",COUNTIFS(LL[Reason for Line Listing],"Case",LL[Role],B$3,LL[Day 0],$A25))</f>
        <v/>
      </c>
      <c r="C25" t="str">
        <f>IF($A25="","",COUNTIFS(LL[Reason for Line Listing],"Case",LL[Role],C$3,LL[Day 0],$A25))</f>
        <v/>
      </c>
      <c r="D25" t="str">
        <f>IF($A25="","",COUNTIFS(LL[Reason for Line Listing],"Case",LL[Role],D$3,LL[Day 0],$A25))</f>
        <v/>
      </c>
      <c r="E25" t="str">
        <f>IF($A25="","",COUNTIFS(LL[Reason for Line Listing],"Case",LL[Role],E$3,LL[Day 0],$A25))</f>
        <v/>
      </c>
      <c r="F25" t="str">
        <f>IF($A25="","",COUNTIFS(LL[Reason for Line Listing],"Case",LL[Role],F$3,LL[Day 0],$A25))</f>
        <v/>
      </c>
      <c r="G25" t="str">
        <f>IF($A25="","",COUNTIFS(LL[Reason for Line Listing],"Case",LL[Role],G$3,LL[Day 0],$A25))</f>
        <v/>
      </c>
      <c r="H25" t="str">
        <f>IF($A25="","",COUNTIFS(LL[Reason for Line Listing],"Case",LL[Role],H$3,LL[Day 0],$A25))</f>
        <v/>
      </c>
      <c r="I25" t="str">
        <f>IF($A25="","",COUNTIFS(LL[Reason for Line Listing],"Case",LL[Role],I$3,LL[Day 0],$A25))</f>
        <v/>
      </c>
      <c r="J25" t="str">
        <f>IF($A25="","",COUNTIFS(LL[Reason for Line Listing],"Case",LL[Role],J$3,LL[Day 0],$A25))</f>
        <v/>
      </c>
      <c r="K25" s="145" t="str">
        <f t="shared" si="1"/>
        <v/>
      </c>
      <c r="L25">
        <v>2</v>
      </c>
      <c r="M25" t="str">
        <f ca="1">INDEX(Symptoms[],MATCH($L25,Symptoms[Practical Rank],0),1)</f>
        <v>Dehydration</v>
      </c>
      <c r="N25">
        <f ca="1">INDEX(Symptoms[],MATCH($L25,Symptoms[Practical Rank],0),2)</f>
        <v>0</v>
      </c>
      <c r="O25">
        <f ca="1">INDEX(Symptoms[],MATCH($L25,Symptoms[Practical Rank],0),3)</f>
        <v>0</v>
      </c>
      <c r="P25">
        <f ca="1">INDEX(Symptoms[],MATCH($L25,Symptoms[Practical Rank],0),4)</f>
        <v>0</v>
      </c>
      <c r="Q25">
        <f ca="1">INDEX(Symptoms[],MATCH($L25,Symptoms[Practical Rank],0),5)</f>
        <v>0</v>
      </c>
      <c r="R25" t="e">
        <f ca="1">INDEX(Symptoms[],MATCH($L25,Symptoms[Practical Rank],0),6)</f>
        <v>#DIV/0!</v>
      </c>
      <c r="S25" t="e">
        <f ca="1">INDEX(Symptoms[],MATCH($L25,Symptoms[Practical Rank],0),7)</f>
        <v>#DIV/0!</v>
      </c>
      <c r="T25" t="e">
        <f ca="1">INDEX(Symptoms[],MATCH($L25,Symptoms[Practical Rank],0),8)</f>
        <v>#DIV/0!</v>
      </c>
      <c r="U25" t="e">
        <f ca="1">INDEX(Symptoms[],MATCH($L25,Symptoms[Practical Rank],0),9)</f>
        <v>#DIV/0!</v>
      </c>
      <c r="V25" t="e">
        <f ca="1">INDEX(Symptoms[],MATCH($L25,Symptoms[Practical Rank],0),10)</f>
        <v>#DIV/0!</v>
      </c>
      <c r="W25" t="e">
        <f ca="1">INDEX(Symptoms[],MATCH($L25,Symptoms[Practical Rank],0),11)</f>
        <v>#DIV/0!</v>
      </c>
      <c r="X25" t="str">
        <f ca="1">INDEX(Symptoms[],MATCH($L25,Symptoms[Practical Rank],0),15)</f>
        <v>G</v>
      </c>
      <c r="Y25" s="145" t="str">
        <f t="shared" ref="Y25:Y40" ca="1" si="15">IF(N25=0,"",IF(N25=1,"There was  1 case, "&amp;ROUND(R5*100,0)&amp;" percent, with "&amp;LEFT(M25,FIND("(",M25,1)-2)&amp;". ","There were "&amp;N25&amp;" cases, "&amp;ROUND(R5*100,0)&amp;" percent, with "&amp;LEFT(M25,FIND("(",M25,1)-2)&amp;". "))</f>
        <v/>
      </c>
      <c r="AC25" t="str">
        <f>IF('Basic Information'!A47=0,"",'Basic Information'!A47)</f>
        <v/>
      </c>
      <c r="AD25" t="str">
        <f>IF($AC25="","",COUNTIFS(LL[Reason for Line Listing],"Case",LL[Role],AD$5,LL[Area],$AC25))</f>
        <v/>
      </c>
      <c r="AE25" t="str">
        <f>IF($AC25="","",COUNTIFS(LL[Reason for Line Listing],"Case",LL[Role],AE$5,LL[Area],$AC25))</f>
        <v/>
      </c>
      <c r="AF25" t="str">
        <f t="shared" si="9"/>
        <v/>
      </c>
      <c r="AG25" t="str">
        <f>IF($AC25="","",COUNTIFS(LL[Reason for Line Listing],"Case",LL[Area],$AC25))</f>
        <v/>
      </c>
      <c r="AH25" t="str">
        <f>IFERROR(_xlfn.XLOOKUP($AC25,SpecificArea[Specific Area],SpecificArea[Staff (Vaccinated)])+_xlfn.XLOOKUP($AC25,SpecificArea[Specific Area],SpecificArea[Staff (Not vaccinated / unknown)]),"")</f>
        <v/>
      </c>
      <c r="AI25" t="str">
        <f>IFERROR(_xlfn.XLOOKUP($AC25,SpecificArea[Specific Area],SpecificArea[Residents (Vaccinated)])+_xlfn.XLOOKUP($AC25,SpecificArea[Specific Area],SpecificArea[Residents (Not vaccinated or unknown)]),"")</f>
        <v/>
      </c>
      <c r="AJ25" t="str">
        <f t="shared" si="10"/>
        <v/>
      </c>
      <c r="AK25" s="141" t="str">
        <f t="shared" si="11"/>
        <v/>
      </c>
      <c r="AL25" s="141" t="str">
        <f t="shared" si="12"/>
        <v/>
      </c>
      <c r="AM25" s="141" t="str">
        <f t="shared" si="13"/>
        <v/>
      </c>
      <c r="AN25" t="str">
        <f t="shared" si="14"/>
        <v/>
      </c>
      <c r="AU25" s="107" t="str">
        <f>IF(ISBLANK('Basic Information'!A42),"",'Basic Information'!A42&amp;": "&amp;COUNTIFS(LL[Reason for Line Listing],"Case",LL[Area],'Basic Information'!A42,LL[Vaccinated - COVID],"Y"))</f>
        <v/>
      </c>
      <c r="AV25" t="str">
        <f>IF(COUNTIFS(LL[Reason for Line Listing],"Case",LL[Area],'Basic Information'!A42,LL[Vaccinated - COVID],"Y")=0,"","Cases among vaccinated people in the "&amp;'Basic Information'!A42&amp;" numbered "&amp;COUNTIFS(LL[Reason for Line Listing],"Case",LL[Area],'Basic Information'!A42,LL[Vaccinated - COVID],"Y")&amp;". " )</f>
        <v/>
      </c>
    </row>
    <row r="26" spans="1:48" x14ac:dyDescent="0.3">
      <c r="A26" s="106" t="str">
        <f>IF(A25="","",IF(A25=MAX(LL[Day 0]),"",A25+1))</f>
        <v/>
      </c>
      <c r="B26" t="str">
        <f>IF($A26="","",COUNTIFS(LL[Reason for Line Listing],"Case",LL[Role],B$3,LL[Day 0],$A26))</f>
        <v/>
      </c>
      <c r="C26" t="str">
        <f>IF($A26="","",COUNTIFS(LL[Reason for Line Listing],"Case",LL[Role],C$3,LL[Day 0],$A26))</f>
        <v/>
      </c>
      <c r="D26" t="str">
        <f>IF($A26="","",COUNTIFS(LL[Reason for Line Listing],"Case",LL[Role],D$3,LL[Day 0],$A26))</f>
        <v/>
      </c>
      <c r="E26" t="str">
        <f>IF($A26="","",COUNTIFS(LL[Reason for Line Listing],"Case",LL[Role],E$3,LL[Day 0],$A26))</f>
        <v/>
      </c>
      <c r="F26" t="str">
        <f>IF($A26="","",COUNTIFS(LL[Reason for Line Listing],"Case",LL[Role],F$3,LL[Day 0],$A26))</f>
        <v/>
      </c>
      <c r="G26" t="str">
        <f>IF($A26="","",COUNTIFS(LL[Reason for Line Listing],"Case",LL[Role],G$3,LL[Day 0],$A26))</f>
        <v/>
      </c>
      <c r="H26" t="str">
        <f>IF($A26="","",COUNTIFS(LL[Reason for Line Listing],"Case",LL[Role],H$3,LL[Day 0],$A26))</f>
        <v/>
      </c>
      <c r="I26" t="str">
        <f>IF($A26="","",COUNTIFS(LL[Reason for Line Listing],"Case",LL[Role],I$3,LL[Day 0],$A26))</f>
        <v/>
      </c>
      <c r="J26" t="str">
        <f>IF($A26="","",COUNTIFS(LL[Reason for Line Listing],"Case",LL[Role],J$3,LL[Day 0],$A26))</f>
        <v/>
      </c>
      <c r="K26" s="145" t="str">
        <f t="shared" si="1"/>
        <v/>
      </c>
      <c r="L26">
        <v>3</v>
      </c>
      <c r="M26" t="str">
        <f ca="1">INDEX(Symptoms[],MATCH($L26,Symptoms[Practical Rank],0),1)</f>
        <v>Abdominal Pain / Tenderness</v>
      </c>
      <c r="N26">
        <f ca="1">INDEX(Symptoms[],MATCH($L26,Symptoms[Practical Rank],0),2)</f>
        <v>0</v>
      </c>
      <c r="O26">
        <f ca="1">INDEX(Symptoms[],MATCH($L26,Symptoms[Practical Rank],0),3)</f>
        <v>0</v>
      </c>
      <c r="P26">
        <f ca="1">INDEX(Symptoms[],MATCH($L26,Symptoms[Practical Rank],0),4)</f>
        <v>0</v>
      </c>
      <c r="Q26">
        <f ca="1">INDEX(Symptoms[],MATCH($L26,Symptoms[Practical Rank],0),5)</f>
        <v>0</v>
      </c>
      <c r="R26" t="e">
        <f ca="1">INDEX(Symptoms[],MATCH($L26,Symptoms[Practical Rank],0),6)</f>
        <v>#DIV/0!</v>
      </c>
      <c r="S26" t="e">
        <f ca="1">INDEX(Symptoms[],MATCH($L26,Symptoms[Practical Rank],0),7)</f>
        <v>#DIV/0!</v>
      </c>
      <c r="T26" t="e">
        <f ca="1">INDEX(Symptoms[],MATCH($L26,Symptoms[Practical Rank],0),8)</f>
        <v>#DIV/0!</v>
      </c>
      <c r="U26" t="e">
        <f ca="1">INDEX(Symptoms[],MATCH($L26,Symptoms[Practical Rank],0),9)</f>
        <v>#DIV/0!</v>
      </c>
      <c r="V26" t="e">
        <f ca="1">INDEX(Symptoms[],MATCH($L26,Symptoms[Practical Rank],0),10)</f>
        <v>#DIV/0!</v>
      </c>
      <c r="W26" t="e">
        <f ca="1">INDEX(Symptoms[],MATCH($L26,Symptoms[Practical Rank],0),11)</f>
        <v>#DIV/0!</v>
      </c>
      <c r="X26" t="str">
        <f ca="1">INDEX(Symptoms[],MATCH($L26,Symptoms[Practical Rank],0),15)</f>
        <v>G</v>
      </c>
      <c r="Y26" s="145" t="str">
        <f t="shared" ca="1" si="15"/>
        <v/>
      </c>
      <c r="AC26" t="str">
        <f>IF('Basic Information'!A48=0,"",'Basic Information'!A48)</f>
        <v/>
      </c>
      <c r="AD26" t="str">
        <f>IF($AC26="","",COUNTIFS(LL[Reason for Line Listing],"Case",LL[Role],AD$5,LL[Area],$AC26))</f>
        <v/>
      </c>
      <c r="AE26" t="str">
        <f>IF($AC26="","",COUNTIFS(LL[Reason for Line Listing],"Case",LL[Role],AE$5,LL[Area],$AC26))</f>
        <v/>
      </c>
      <c r="AF26" t="str">
        <f t="shared" si="9"/>
        <v/>
      </c>
      <c r="AG26" t="str">
        <f>IF($AC26="","",COUNTIFS(LL[Reason for Line Listing],"Case",LL[Area],$AC26))</f>
        <v/>
      </c>
      <c r="AH26" t="str">
        <f>IFERROR(_xlfn.XLOOKUP($AC26,SpecificArea[Specific Area],SpecificArea[Staff (Vaccinated)])+_xlfn.XLOOKUP($AC26,SpecificArea[Specific Area],SpecificArea[Staff (Not vaccinated / unknown)]),"")</f>
        <v/>
      </c>
      <c r="AI26" t="str">
        <f>IFERROR(_xlfn.XLOOKUP($AC26,SpecificArea[Specific Area],SpecificArea[Residents (Vaccinated)])+_xlfn.XLOOKUP($AC26,SpecificArea[Specific Area],SpecificArea[Residents (Not vaccinated or unknown)]),"")</f>
        <v/>
      </c>
      <c r="AJ26" t="str">
        <f t="shared" si="10"/>
        <v/>
      </c>
      <c r="AK26" s="141" t="str">
        <f t="shared" si="11"/>
        <v/>
      </c>
      <c r="AL26" s="141" t="str">
        <f t="shared" si="12"/>
        <v/>
      </c>
      <c r="AM26" s="141" t="str">
        <f t="shared" si="13"/>
        <v/>
      </c>
      <c r="AN26" t="str">
        <f t="shared" si="14"/>
        <v/>
      </c>
      <c r="AU26" s="107" t="str">
        <f>IF(ISBLANK('Basic Information'!A43),"",'Basic Information'!A43&amp;": "&amp;COUNTIFS(LL[Reason for Line Listing],"Case",LL[Area],'Basic Information'!A43,LL[Vaccinated - COVID],"Y"))</f>
        <v/>
      </c>
      <c r="AV26" t="str">
        <f>IF(COUNTIFS(LL[Reason for Line Listing],"Case",LL[Area],'Basic Information'!A43,LL[Vaccinated - COVID],"Y")=0,"","Cases among vaccinated people in the "&amp;'Basic Information'!A43&amp;" numbered "&amp;COUNTIFS(LL[Reason for Line Listing],"Case",LL[Area],'Basic Information'!A43,LL[Vaccinated - COVID],"Y")&amp;". " )</f>
        <v/>
      </c>
    </row>
    <row r="27" spans="1:48" x14ac:dyDescent="0.3">
      <c r="A27" s="106" t="str">
        <f>IF(A26="","",IF(A26=MAX(LL[Day 0]),"",A26+1))</f>
        <v/>
      </c>
      <c r="B27" t="str">
        <f>IF($A27="","",COUNTIFS(LL[Reason for Line Listing],"Case",LL[Role],B$3,LL[Day 0],$A27))</f>
        <v/>
      </c>
      <c r="C27" t="str">
        <f>IF($A27="","",COUNTIFS(LL[Reason for Line Listing],"Case",LL[Role],C$3,LL[Day 0],$A27))</f>
        <v/>
      </c>
      <c r="D27" t="str">
        <f>IF($A27="","",COUNTIFS(LL[Reason for Line Listing],"Case",LL[Role],D$3,LL[Day 0],$A27))</f>
        <v/>
      </c>
      <c r="E27" t="str">
        <f>IF($A27="","",COUNTIFS(LL[Reason for Line Listing],"Case",LL[Role],E$3,LL[Day 0],$A27))</f>
        <v/>
      </c>
      <c r="F27" t="str">
        <f>IF($A27="","",COUNTIFS(LL[Reason for Line Listing],"Case",LL[Role],F$3,LL[Day 0],$A27))</f>
        <v/>
      </c>
      <c r="G27" t="str">
        <f>IF($A27="","",COUNTIFS(LL[Reason for Line Listing],"Case",LL[Role],G$3,LL[Day 0],$A27))</f>
        <v/>
      </c>
      <c r="H27" t="str">
        <f>IF($A27="","",COUNTIFS(LL[Reason for Line Listing],"Case",LL[Role],H$3,LL[Day 0],$A27))</f>
        <v/>
      </c>
      <c r="I27" t="str">
        <f>IF($A27="","",COUNTIFS(LL[Reason for Line Listing],"Case",LL[Role],I$3,LL[Day 0],$A27))</f>
        <v/>
      </c>
      <c r="J27" t="str">
        <f>IF($A27="","",COUNTIFS(LL[Reason for Line Listing],"Case",LL[Role],J$3,LL[Day 0],$A27))</f>
        <v/>
      </c>
      <c r="K27" s="145" t="str">
        <f t="shared" si="1"/>
        <v/>
      </c>
      <c r="L27">
        <v>4</v>
      </c>
      <c r="M27" t="str">
        <f ca="1">INDEX(Symptoms[],MATCH($L27,Symptoms[Practical Rank],0),1)</f>
        <v>Vomiting</v>
      </c>
      <c r="N27">
        <f ca="1">INDEX(Symptoms[],MATCH($L27,Symptoms[Practical Rank],0),2)</f>
        <v>0</v>
      </c>
      <c r="O27">
        <f ca="1">INDEX(Symptoms[],MATCH($L27,Symptoms[Practical Rank],0),3)</f>
        <v>0</v>
      </c>
      <c r="P27">
        <f ca="1">INDEX(Symptoms[],MATCH($L27,Symptoms[Practical Rank],0),4)</f>
        <v>0</v>
      </c>
      <c r="Q27">
        <f ca="1">INDEX(Symptoms[],MATCH($L27,Symptoms[Practical Rank],0),5)</f>
        <v>0</v>
      </c>
      <c r="R27" t="e">
        <f ca="1">INDEX(Symptoms[],MATCH($L27,Symptoms[Practical Rank],0),6)</f>
        <v>#DIV/0!</v>
      </c>
      <c r="S27" t="e">
        <f ca="1">INDEX(Symptoms[],MATCH($L27,Symptoms[Practical Rank],0),7)</f>
        <v>#DIV/0!</v>
      </c>
      <c r="T27" t="e">
        <f ca="1">INDEX(Symptoms[],MATCH($L27,Symptoms[Practical Rank],0),8)</f>
        <v>#DIV/0!</v>
      </c>
      <c r="U27" t="e">
        <f ca="1">INDEX(Symptoms[],MATCH($L27,Symptoms[Practical Rank],0),9)</f>
        <v>#DIV/0!</v>
      </c>
      <c r="V27" t="e">
        <f ca="1">INDEX(Symptoms[],MATCH($L27,Symptoms[Practical Rank],0),10)</f>
        <v>#DIV/0!</v>
      </c>
      <c r="W27" t="e">
        <f ca="1">INDEX(Symptoms[],MATCH($L27,Symptoms[Practical Rank],0),11)</f>
        <v>#DIV/0!</v>
      </c>
      <c r="X27" t="str">
        <f ca="1">INDEX(Symptoms[],MATCH($L27,Symptoms[Practical Rank],0),15)</f>
        <v>G</v>
      </c>
      <c r="Y27" s="145" t="str">
        <f t="shared" ca="1" si="15"/>
        <v/>
      </c>
      <c r="AC27" t="str">
        <f>IF('Basic Information'!A49=0,"",'Basic Information'!A49)</f>
        <v/>
      </c>
      <c r="AD27" t="str">
        <f>IF($AC27="","",COUNTIFS(LL[Reason for Line Listing],"Case",LL[Role],AD$5,LL[Area],$AC27))</f>
        <v/>
      </c>
      <c r="AE27" t="str">
        <f>IF($AC27="","",COUNTIFS(LL[Reason for Line Listing],"Case",LL[Role],AE$5,LL[Area],$AC27))</f>
        <v/>
      </c>
      <c r="AF27" t="str">
        <f t="shared" si="9"/>
        <v/>
      </c>
      <c r="AG27" t="str">
        <f>IF($AC27="","",COUNTIFS(LL[Reason for Line Listing],"Case",LL[Area],$AC27))</f>
        <v/>
      </c>
      <c r="AH27" t="str">
        <f>IFERROR(_xlfn.XLOOKUP($AC27,SpecificArea[Specific Area],SpecificArea[Staff (Vaccinated)])+_xlfn.XLOOKUP($AC27,SpecificArea[Specific Area],SpecificArea[Staff (Not vaccinated / unknown)]),"")</f>
        <v/>
      </c>
      <c r="AI27" t="str">
        <f>IFERROR(_xlfn.XLOOKUP($AC27,SpecificArea[Specific Area],SpecificArea[Residents (Vaccinated)])+_xlfn.XLOOKUP($AC27,SpecificArea[Specific Area],SpecificArea[Residents (Not vaccinated or unknown)]),"")</f>
        <v/>
      </c>
      <c r="AJ27" t="str">
        <f t="shared" si="10"/>
        <v/>
      </c>
      <c r="AK27" s="141" t="str">
        <f t="shared" si="11"/>
        <v/>
      </c>
      <c r="AL27" s="141" t="str">
        <f t="shared" si="12"/>
        <v/>
      </c>
      <c r="AM27" s="141" t="str">
        <f t="shared" si="13"/>
        <v/>
      </c>
      <c r="AN27" t="str">
        <f t="shared" si="14"/>
        <v/>
      </c>
      <c r="AU27" s="107" t="str">
        <f>IF(ISBLANK('Basic Information'!A44),"",'Basic Information'!A44&amp;": "&amp;COUNTIFS(LL[Reason for Line Listing],"Case",LL[Area],'Basic Information'!A44,LL[Vaccinated - COVID],"Y"))</f>
        <v/>
      </c>
      <c r="AV27" t="str">
        <f>IF(COUNTIFS(LL[Reason for Line Listing],"Case",LL[Area],'Basic Information'!A44,LL[Vaccinated - COVID],"Y")=0,"","Cases among vaccinated people in the "&amp;'Basic Information'!A44&amp;" numbered "&amp;COUNTIFS(LL[Reason for Line Listing],"Case",LL[Area],'Basic Information'!A44,LL[Vaccinated - COVID],"Y")&amp;". " )</f>
        <v/>
      </c>
    </row>
    <row r="28" spans="1:48" x14ac:dyDescent="0.3">
      <c r="A28" s="106" t="str">
        <f>IF(A27="","",IF(A27=MAX(LL[Day 0]),"",A27+1))</f>
        <v/>
      </c>
      <c r="B28" t="str">
        <f>IF($A28="","",COUNTIFS(LL[Reason for Line Listing],"Case",LL[Role],B$3,LL[Day 0],$A28))</f>
        <v/>
      </c>
      <c r="C28" t="str">
        <f>IF($A28="","",COUNTIFS(LL[Reason for Line Listing],"Case",LL[Role],C$3,LL[Day 0],$A28))</f>
        <v/>
      </c>
      <c r="D28" t="str">
        <f>IF($A28="","",COUNTIFS(LL[Reason for Line Listing],"Case",LL[Role],D$3,LL[Day 0],$A28))</f>
        <v/>
      </c>
      <c r="E28" t="str">
        <f>IF($A28="","",COUNTIFS(LL[Reason for Line Listing],"Case",LL[Role],E$3,LL[Day 0],$A28))</f>
        <v/>
      </c>
      <c r="F28" t="str">
        <f>IF($A28="","",COUNTIFS(LL[Reason for Line Listing],"Case",LL[Role],F$3,LL[Day 0],$A28))</f>
        <v/>
      </c>
      <c r="G28" t="str">
        <f>IF($A28="","",COUNTIFS(LL[Reason for Line Listing],"Case",LL[Role],G$3,LL[Day 0],$A28))</f>
        <v/>
      </c>
      <c r="H28" t="str">
        <f>IF($A28="","",COUNTIFS(LL[Reason for Line Listing],"Case",LL[Role],H$3,LL[Day 0],$A28))</f>
        <v/>
      </c>
      <c r="I28" t="str">
        <f>IF($A28="","",COUNTIFS(LL[Reason for Line Listing],"Case",LL[Role],I$3,LL[Day 0],$A28))</f>
        <v/>
      </c>
      <c r="J28" t="str">
        <f>IF($A28="","",COUNTIFS(LL[Reason for Line Listing],"Case",LL[Role],J$3,LL[Day 0],$A28))</f>
        <v/>
      </c>
      <c r="K28" s="145" t="str">
        <f t="shared" si="1"/>
        <v/>
      </c>
      <c r="L28">
        <v>5</v>
      </c>
      <c r="M28" t="str">
        <f ca="1">INDEX(Symptoms[],MATCH($L28,Symptoms[Practical Rank],0),1)</f>
        <v>Diarrhea (Watery, Bloody, Greasy)</v>
      </c>
      <c r="N28">
        <f ca="1">INDEX(Symptoms[],MATCH($L28,Symptoms[Practical Rank],0),2)</f>
        <v>0</v>
      </c>
      <c r="O28">
        <f ca="1">INDEX(Symptoms[],MATCH($L28,Symptoms[Practical Rank],0),3)</f>
        <v>0</v>
      </c>
      <c r="P28">
        <f ca="1">INDEX(Symptoms[],MATCH($L28,Symptoms[Practical Rank],0),4)</f>
        <v>0</v>
      </c>
      <c r="Q28">
        <f ca="1">INDEX(Symptoms[],MATCH($L28,Symptoms[Practical Rank],0),5)</f>
        <v>0</v>
      </c>
      <c r="R28" t="e">
        <f ca="1">INDEX(Symptoms[],MATCH($L28,Symptoms[Practical Rank],0),6)</f>
        <v>#DIV/0!</v>
      </c>
      <c r="S28" t="e">
        <f ca="1">INDEX(Symptoms[],MATCH($L28,Symptoms[Practical Rank],0),7)</f>
        <v>#DIV/0!</v>
      </c>
      <c r="T28" t="e">
        <f ca="1">INDEX(Symptoms[],MATCH($L28,Symptoms[Practical Rank],0),8)</f>
        <v>#DIV/0!</v>
      </c>
      <c r="U28" t="e">
        <f ca="1">INDEX(Symptoms[],MATCH($L28,Symptoms[Practical Rank],0),9)</f>
        <v>#DIV/0!</v>
      </c>
      <c r="V28" t="e">
        <f ca="1">INDEX(Symptoms[],MATCH($L28,Symptoms[Practical Rank],0),10)</f>
        <v>#DIV/0!</v>
      </c>
      <c r="W28" t="e">
        <f ca="1">INDEX(Symptoms[],MATCH($L28,Symptoms[Practical Rank],0),11)</f>
        <v>#DIV/0!</v>
      </c>
      <c r="X28" t="str">
        <f ca="1">INDEX(Symptoms[],MATCH($L28,Symptoms[Practical Rank],0),15)</f>
        <v>G</v>
      </c>
      <c r="Y28" s="145" t="str">
        <f t="shared" ca="1" si="15"/>
        <v/>
      </c>
      <c r="AC28" t="str">
        <f>IF('Basic Information'!A50=0,"",'Basic Information'!A50)</f>
        <v/>
      </c>
      <c r="AD28" t="str">
        <f>IF($AC28="","",COUNTIFS(LL[Reason for Line Listing],"Case",LL[Role],AD$5,LL[Area],$AC28))</f>
        <v/>
      </c>
      <c r="AE28" t="str">
        <f>IF($AC28="","",COUNTIFS(LL[Reason for Line Listing],"Case",LL[Role],AE$5,LL[Area],$AC28))</f>
        <v/>
      </c>
      <c r="AF28" t="str">
        <f t="shared" si="9"/>
        <v/>
      </c>
      <c r="AG28" t="str">
        <f>IF($AC28="","",COUNTIFS(LL[Reason for Line Listing],"Case",LL[Area],$AC28))</f>
        <v/>
      </c>
      <c r="AH28" t="str">
        <f>IFERROR(_xlfn.XLOOKUP($AC28,SpecificArea[Specific Area],SpecificArea[Staff (Vaccinated)])+_xlfn.XLOOKUP($AC28,SpecificArea[Specific Area],SpecificArea[Staff (Not vaccinated / unknown)]),"")</f>
        <v/>
      </c>
      <c r="AI28" t="str">
        <f>IFERROR(_xlfn.XLOOKUP($AC28,SpecificArea[Specific Area],SpecificArea[Residents (Vaccinated)])+_xlfn.XLOOKUP($AC28,SpecificArea[Specific Area],SpecificArea[Residents (Not vaccinated or unknown)]),"")</f>
        <v/>
      </c>
      <c r="AJ28" t="str">
        <f t="shared" si="10"/>
        <v/>
      </c>
      <c r="AK28" s="141" t="str">
        <f t="shared" si="11"/>
        <v/>
      </c>
      <c r="AL28" s="141" t="str">
        <f t="shared" si="12"/>
        <v/>
      </c>
      <c r="AM28" s="141" t="str">
        <f t="shared" si="13"/>
        <v/>
      </c>
      <c r="AN28" t="str">
        <f t="shared" si="14"/>
        <v/>
      </c>
      <c r="AU28" s="107" t="str">
        <f>IF(ISBLANK('Basic Information'!A45),"",'Basic Information'!A45&amp;": "&amp;COUNTIFS(LL[Reason for Line Listing],"Case",LL[Area],'Basic Information'!A45,LL[Vaccinated - COVID],"Y"))</f>
        <v/>
      </c>
      <c r="AV28" t="str">
        <f>IF(COUNTIFS(LL[Reason for Line Listing],"Case",LL[Area],'Basic Information'!A45,LL[Vaccinated - COVID],"Y")=0,"","Cases among vaccinated people in the "&amp;'Basic Information'!A45&amp;" numbered "&amp;COUNTIFS(LL[Reason for Line Listing],"Case",LL[Area],'Basic Information'!A45,LL[Vaccinated - COVID],"Y")&amp;". " )</f>
        <v/>
      </c>
    </row>
    <row r="29" spans="1:48" x14ac:dyDescent="0.3">
      <c r="A29" s="106" t="str">
        <f>IF(A28="","",IF(A28=MAX(LL[Day 0]),"",A28+1))</f>
        <v/>
      </c>
      <c r="B29" t="str">
        <f>IF($A29="","",COUNTIFS(LL[Reason for Line Listing],"Case",LL[Role],B$3,LL[Day 0],$A29))</f>
        <v/>
      </c>
      <c r="C29" t="str">
        <f>IF($A29="","",COUNTIFS(LL[Reason for Line Listing],"Case",LL[Role],C$3,LL[Day 0],$A29))</f>
        <v/>
      </c>
      <c r="D29" t="str">
        <f>IF($A29="","",COUNTIFS(LL[Reason for Line Listing],"Case",LL[Role],D$3,LL[Day 0],$A29))</f>
        <v/>
      </c>
      <c r="E29" t="str">
        <f>IF($A29="","",COUNTIFS(LL[Reason for Line Listing],"Case",LL[Role],E$3,LL[Day 0],$A29))</f>
        <v/>
      </c>
      <c r="F29" t="str">
        <f>IF($A29="","",COUNTIFS(LL[Reason for Line Listing],"Case",LL[Role],F$3,LL[Day 0],$A29))</f>
        <v/>
      </c>
      <c r="G29" t="str">
        <f>IF($A29="","",COUNTIFS(LL[Reason for Line Listing],"Case",LL[Role],G$3,LL[Day 0],$A29))</f>
        <v/>
      </c>
      <c r="H29" t="str">
        <f>IF($A29="","",COUNTIFS(LL[Reason for Line Listing],"Case",LL[Role],H$3,LL[Day 0],$A29))</f>
        <v/>
      </c>
      <c r="I29" t="str">
        <f>IF($A29="","",COUNTIFS(LL[Reason for Line Listing],"Case",LL[Role],I$3,LL[Day 0],$A29))</f>
        <v/>
      </c>
      <c r="J29" t="str">
        <f>IF($A29="","",COUNTIFS(LL[Reason for Line Listing],"Case",LL[Role],J$3,LL[Day 0],$A29))</f>
        <v/>
      </c>
      <c r="K29" s="145" t="str">
        <f t="shared" si="1"/>
        <v/>
      </c>
      <c r="L29">
        <v>6</v>
      </c>
      <c r="M29" t="str">
        <f ca="1">INDEX(Symptoms[],MATCH($L29,Symptoms[Practical Rank],0),1)</f>
        <v>Decrease / Loss of Appetite</v>
      </c>
      <c r="N29">
        <f ca="1">INDEX(Symptoms[],MATCH($L29,Symptoms[Practical Rank],0),2)</f>
        <v>0</v>
      </c>
      <c r="O29">
        <f ca="1">INDEX(Symptoms[],MATCH($L29,Symptoms[Practical Rank],0),3)</f>
        <v>0</v>
      </c>
      <c r="P29">
        <f ca="1">INDEX(Symptoms[],MATCH($L29,Symptoms[Practical Rank],0),4)</f>
        <v>0</v>
      </c>
      <c r="Q29">
        <f ca="1">INDEX(Symptoms[],MATCH($L29,Symptoms[Practical Rank],0),5)</f>
        <v>0</v>
      </c>
      <c r="R29" t="e">
        <f ca="1">INDEX(Symptoms[],MATCH($L29,Symptoms[Practical Rank],0),6)</f>
        <v>#DIV/0!</v>
      </c>
      <c r="S29" t="e">
        <f ca="1">INDEX(Symptoms[],MATCH($L29,Symptoms[Practical Rank],0),7)</f>
        <v>#DIV/0!</v>
      </c>
      <c r="T29" t="e">
        <f ca="1">INDEX(Symptoms[],MATCH($L29,Symptoms[Practical Rank],0),8)</f>
        <v>#DIV/0!</v>
      </c>
      <c r="U29" t="e">
        <f ca="1">INDEX(Symptoms[],MATCH($L29,Symptoms[Practical Rank],0),9)</f>
        <v>#DIV/0!</v>
      </c>
      <c r="V29" t="e">
        <f ca="1">INDEX(Symptoms[],MATCH($L29,Symptoms[Practical Rank],0),10)</f>
        <v>#DIV/0!</v>
      </c>
      <c r="W29" t="e">
        <f ca="1">INDEX(Symptoms[],MATCH($L29,Symptoms[Practical Rank],0),11)</f>
        <v>#DIV/0!</v>
      </c>
      <c r="X29" t="str">
        <f ca="1">INDEX(Symptoms[],MATCH($L29,Symptoms[Practical Rank],0),15)</f>
        <v>S</v>
      </c>
      <c r="Y29" s="145" t="str">
        <f t="shared" ca="1" si="15"/>
        <v/>
      </c>
      <c r="AC29" t="str">
        <f>IF('Basic Information'!A51=0,"",'Basic Information'!A51)</f>
        <v/>
      </c>
      <c r="AD29" t="str">
        <f>IF($AC29="","",COUNTIFS(LL[Reason for Line Listing],"Case",LL[Role],AD$5,LL[Area],$AC29))</f>
        <v/>
      </c>
      <c r="AE29" t="str">
        <f>IF($AC29="","",COUNTIFS(LL[Reason for Line Listing],"Case",LL[Role],AE$5,LL[Area],$AC29))</f>
        <v/>
      </c>
      <c r="AF29" t="str">
        <f t="shared" si="9"/>
        <v/>
      </c>
      <c r="AG29" t="str">
        <f>IF($AC29="","",COUNTIFS(LL[Reason for Line Listing],"Case",LL[Area],$AC29))</f>
        <v/>
      </c>
      <c r="AH29" t="str">
        <f>IFERROR(_xlfn.XLOOKUP($AC29,SpecificArea[Specific Area],SpecificArea[Staff (Vaccinated)])+_xlfn.XLOOKUP($AC29,SpecificArea[Specific Area],SpecificArea[Staff (Not vaccinated / unknown)]),"")</f>
        <v/>
      </c>
      <c r="AI29" t="str">
        <f>IFERROR(_xlfn.XLOOKUP($AC29,SpecificArea[Specific Area],SpecificArea[Residents (Vaccinated)])+_xlfn.XLOOKUP($AC29,SpecificArea[Specific Area],SpecificArea[Residents (Not vaccinated or unknown)]),"")</f>
        <v/>
      </c>
      <c r="AJ29" t="str">
        <f t="shared" si="10"/>
        <v/>
      </c>
      <c r="AK29" s="141" t="str">
        <f t="shared" si="11"/>
        <v/>
      </c>
      <c r="AL29" s="141" t="str">
        <f t="shared" si="12"/>
        <v/>
      </c>
      <c r="AM29" s="141" t="str">
        <f t="shared" si="13"/>
        <v/>
      </c>
      <c r="AN29" t="str">
        <f t="shared" si="14"/>
        <v/>
      </c>
      <c r="AU29" s="107" t="str">
        <f>IF(ISBLANK('Basic Information'!A46),"",'Basic Information'!A46&amp;": "&amp;COUNTIFS(LL[Reason for Line Listing],"Case",LL[Area],'Basic Information'!A46,LL[Vaccinated - COVID],"Y"))</f>
        <v/>
      </c>
      <c r="AV29" t="str">
        <f>IF(COUNTIFS(LL[Reason for Line Listing],"Case",LL[Area],'Basic Information'!A46,LL[Vaccinated - COVID],"Y")=0,"","Cases among vaccinated people in the "&amp;'Basic Information'!A46&amp;" numbered "&amp;COUNTIFS(LL[Reason for Line Listing],"Case",LL[Area],'Basic Information'!A46,LL[Vaccinated - COVID],"Y")&amp;". " )</f>
        <v/>
      </c>
    </row>
    <row r="30" spans="1:48" x14ac:dyDescent="0.3">
      <c r="A30" s="106" t="str">
        <f>IF(A29="","",IF(A29=MAX(LL[Day 0]),"",A29+1))</f>
        <v/>
      </c>
      <c r="B30" t="str">
        <f>IF($A30="","",COUNTIFS(LL[Reason for Line Listing],"Case",LL[Role],B$3,LL[Day 0],$A30))</f>
        <v/>
      </c>
      <c r="C30" t="str">
        <f>IF($A30="","",COUNTIFS(LL[Reason for Line Listing],"Case",LL[Role],C$3,LL[Day 0],$A30))</f>
        <v/>
      </c>
      <c r="D30" t="str">
        <f>IF($A30="","",COUNTIFS(LL[Reason for Line Listing],"Case",LL[Role],D$3,LL[Day 0],$A30))</f>
        <v/>
      </c>
      <c r="E30" t="str">
        <f>IF($A30="","",COUNTIFS(LL[Reason for Line Listing],"Case",LL[Role],E$3,LL[Day 0],$A30))</f>
        <v/>
      </c>
      <c r="F30" t="str">
        <f>IF($A30="","",COUNTIFS(LL[Reason for Line Listing],"Case",LL[Role],F$3,LL[Day 0],$A30))</f>
        <v/>
      </c>
      <c r="G30" t="str">
        <f>IF($A30="","",COUNTIFS(LL[Reason for Line Listing],"Case",LL[Role],G$3,LL[Day 0],$A30))</f>
        <v/>
      </c>
      <c r="H30" t="str">
        <f>IF($A30="","",COUNTIFS(LL[Reason for Line Listing],"Case",LL[Role],H$3,LL[Day 0],$A30))</f>
        <v/>
      </c>
      <c r="I30" t="str">
        <f>IF($A30="","",COUNTIFS(LL[Reason for Line Listing],"Case",LL[Role],I$3,LL[Day 0],$A30))</f>
        <v/>
      </c>
      <c r="J30" t="str">
        <f>IF($A30="","",COUNTIFS(LL[Reason for Line Listing],"Case",LL[Role],J$3,LL[Day 0],$A30))</f>
        <v/>
      </c>
      <c r="K30" s="145" t="str">
        <f t="shared" si="1"/>
        <v/>
      </c>
      <c r="L30">
        <v>7</v>
      </c>
      <c r="M30" t="str">
        <f ca="1">INDEX(Symptoms[],MATCH($L30,Symptoms[Practical Rank],0),1)</f>
        <v>Nausea</v>
      </c>
      <c r="N30">
        <f ca="1">INDEX(Symptoms[],MATCH($L30,Symptoms[Practical Rank],0),2)</f>
        <v>0</v>
      </c>
      <c r="O30">
        <f ca="1">INDEX(Symptoms[],MATCH($L30,Symptoms[Practical Rank],0),3)</f>
        <v>0</v>
      </c>
      <c r="P30">
        <f ca="1">INDEX(Symptoms[],MATCH($L30,Symptoms[Practical Rank],0),4)</f>
        <v>0</v>
      </c>
      <c r="Q30">
        <f ca="1">INDEX(Symptoms[],MATCH($L30,Symptoms[Practical Rank],0),5)</f>
        <v>0</v>
      </c>
      <c r="R30" t="e">
        <f ca="1">INDEX(Symptoms[],MATCH($L30,Symptoms[Practical Rank],0),6)</f>
        <v>#DIV/0!</v>
      </c>
      <c r="S30" t="e">
        <f ca="1">INDEX(Symptoms[],MATCH($L30,Symptoms[Practical Rank],0),7)</f>
        <v>#DIV/0!</v>
      </c>
      <c r="T30" t="e">
        <f ca="1">INDEX(Symptoms[],MATCH($L30,Symptoms[Practical Rank],0),8)</f>
        <v>#DIV/0!</v>
      </c>
      <c r="U30" t="e">
        <f ca="1">INDEX(Symptoms[],MATCH($L30,Symptoms[Practical Rank],0),9)</f>
        <v>#DIV/0!</v>
      </c>
      <c r="V30" t="e">
        <f ca="1">INDEX(Symptoms[],MATCH($L30,Symptoms[Practical Rank],0),10)</f>
        <v>#DIV/0!</v>
      </c>
      <c r="W30" t="e">
        <f ca="1">INDEX(Symptoms[],MATCH($L30,Symptoms[Practical Rank],0),11)</f>
        <v>#DIV/0!</v>
      </c>
      <c r="X30" t="str">
        <f ca="1">INDEX(Symptoms[],MATCH($L30,Symptoms[Practical Rank],0),15)</f>
        <v>S</v>
      </c>
      <c r="Y30" s="145" t="str">
        <f t="shared" ca="1" si="15"/>
        <v/>
      </c>
      <c r="AU30" s="107" t="str">
        <f>IF(ISBLANK('Basic Information'!A47),"",'Basic Information'!A47&amp;": "&amp;COUNTIFS(LL[Reason for Line Listing],"Case",LL[Area],'Basic Information'!A47,LL[Vaccinated - COVID],"Y"))</f>
        <v/>
      </c>
      <c r="AV30" t="str">
        <f>IF(COUNTIFS(LL[Reason for Line Listing],"Case",LL[Area],'Basic Information'!A47,LL[Vaccinated - COVID],"Y")=0,"","Cases among vaccinated people in the "&amp;'Basic Information'!A47&amp;" numbered "&amp;COUNTIFS(LL[Reason for Line Listing],"Case",LL[Area],'Basic Information'!A47,LL[Vaccinated - COVID],"Y")&amp;". " )</f>
        <v/>
      </c>
    </row>
    <row r="31" spans="1:48" x14ac:dyDescent="0.3">
      <c r="A31" s="106" t="str">
        <f>IF(A30="","",IF(A30=MAX(LL[Day 0]),"",A30+1))</f>
        <v/>
      </c>
      <c r="B31" t="str">
        <f>IF($A31="","",COUNTIFS(LL[Reason for Line Listing],"Case",LL[Role],B$3,LL[Day 0],$A31))</f>
        <v/>
      </c>
      <c r="C31" t="str">
        <f>IF($A31="","",COUNTIFS(LL[Reason for Line Listing],"Case",LL[Role],C$3,LL[Day 0],$A31))</f>
        <v/>
      </c>
      <c r="D31" t="str">
        <f>IF($A31="","",COUNTIFS(LL[Reason for Line Listing],"Case",LL[Role],D$3,LL[Day 0],$A31))</f>
        <v/>
      </c>
      <c r="E31" t="str">
        <f>IF($A31="","",COUNTIFS(LL[Reason for Line Listing],"Case",LL[Role],E$3,LL[Day 0],$A31))</f>
        <v/>
      </c>
      <c r="F31" t="str">
        <f>IF($A31="","",COUNTIFS(LL[Reason for Line Listing],"Case",LL[Role],F$3,LL[Day 0],$A31))</f>
        <v/>
      </c>
      <c r="G31" t="str">
        <f>IF($A31="","",COUNTIFS(LL[Reason for Line Listing],"Case",LL[Role],G$3,LL[Day 0],$A31))</f>
        <v/>
      </c>
      <c r="H31" t="str">
        <f>IF($A31="","",COUNTIFS(LL[Reason for Line Listing],"Case",LL[Role],H$3,LL[Day 0],$A31))</f>
        <v/>
      </c>
      <c r="I31" t="str">
        <f>IF($A31="","",COUNTIFS(LL[Reason for Line Listing],"Case",LL[Role],I$3,LL[Day 0],$A31))</f>
        <v/>
      </c>
      <c r="J31" t="str">
        <f>IF($A31="","",COUNTIFS(LL[Reason for Line Listing],"Case",LL[Role],J$3,LL[Day 0],$A31))</f>
        <v/>
      </c>
      <c r="K31" s="145" t="str">
        <f t="shared" si="1"/>
        <v/>
      </c>
      <c r="L31">
        <v>8</v>
      </c>
      <c r="M31" t="str">
        <f ca="1">INDEX(Symptoms[],MATCH($L31,Symptoms[Practical Rank],0),1)</f>
        <v>Myalgia (Sore Muscles)</v>
      </c>
      <c r="N31">
        <f ca="1">INDEX(Symptoms[],MATCH($L31,Symptoms[Practical Rank],0),2)</f>
        <v>0</v>
      </c>
      <c r="O31">
        <f ca="1">INDEX(Symptoms[],MATCH($L31,Symptoms[Practical Rank],0),3)</f>
        <v>0</v>
      </c>
      <c r="P31">
        <f ca="1">INDEX(Symptoms[],MATCH($L31,Symptoms[Practical Rank],0),4)</f>
        <v>0</v>
      </c>
      <c r="Q31">
        <f ca="1">INDEX(Symptoms[],MATCH($L31,Symptoms[Practical Rank],0),5)</f>
        <v>0</v>
      </c>
      <c r="R31" t="e">
        <f ca="1">INDEX(Symptoms[],MATCH($L31,Symptoms[Practical Rank],0),6)</f>
        <v>#DIV/0!</v>
      </c>
      <c r="S31" t="e">
        <f ca="1">INDEX(Symptoms[],MATCH($L31,Symptoms[Practical Rank],0),7)</f>
        <v>#DIV/0!</v>
      </c>
      <c r="T31" t="e">
        <f ca="1">INDEX(Symptoms[],MATCH($L31,Symptoms[Practical Rank],0),8)</f>
        <v>#DIV/0!</v>
      </c>
      <c r="U31" t="e">
        <f ca="1">INDEX(Symptoms[],MATCH($L31,Symptoms[Practical Rank],0),9)</f>
        <v>#DIV/0!</v>
      </c>
      <c r="V31" t="e">
        <f ca="1">INDEX(Symptoms[],MATCH($L31,Symptoms[Practical Rank],0),10)</f>
        <v>#DIV/0!</v>
      </c>
      <c r="W31" t="e">
        <f ca="1">INDEX(Symptoms[],MATCH($L31,Symptoms[Practical Rank],0),11)</f>
        <v>#DIV/0!</v>
      </c>
      <c r="X31" t="str">
        <f ca="1">INDEX(Symptoms[],MATCH($L31,Symptoms[Practical Rank],0),15)</f>
        <v>S</v>
      </c>
      <c r="Y31" s="145" t="str">
        <f t="shared" ca="1" si="15"/>
        <v/>
      </c>
      <c r="AC31" t="str">
        <f>"Date Reported: "&amp;IF(ISBLANK(Reported),"NOT ENTERED",TEXT(Reported,"mmm d, yyyy"))</f>
        <v>Date Reported: NOT ENTERED</v>
      </c>
      <c r="AH31" t="str">
        <f>IF(ISBLANK(Institution),"Enter Institution Name",Institution)</f>
        <v>Enter Institution Name</v>
      </c>
      <c r="AU31" s="107" t="str">
        <f>IF(ISBLANK('Basic Information'!A48),"",'Basic Information'!A48&amp;": "&amp;COUNTIFS(LL[Reason for Line Listing],"Case",LL[Area],'Basic Information'!A48,LL[Vaccinated - COVID],"Y"))</f>
        <v/>
      </c>
      <c r="AV31" t="str">
        <f>IF(COUNTIFS(LL[Reason for Line Listing],"Case",LL[Area],'Basic Information'!A48,LL[Vaccinated - COVID],"Y")=0,"","Cases among vaccinated people in the "&amp;'Basic Information'!A48&amp;" numbered "&amp;COUNTIFS(LL[Reason for Line Listing],"Case",LL[Area],'Basic Information'!A48,LL[Vaccinated - COVID],"Y")&amp;". " )</f>
        <v/>
      </c>
    </row>
    <row r="32" spans="1:48" x14ac:dyDescent="0.3">
      <c r="A32" s="106" t="str">
        <f>IF(A31="","",IF(A31=MAX(LL[Day 0]),"",A31+1))</f>
        <v/>
      </c>
      <c r="B32" t="str">
        <f>IF($A32="","",COUNTIFS(LL[Reason for Line Listing],"Case",LL[Role],B$3,LL[Day 0],$A32))</f>
        <v/>
      </c>
      <c r="C32" t="str">
        <f>IF($A32="","",COUNTIFS(LL[Reason for Line Listing],"Case",LL[Role],C$3,LL[Day 0],$A32))</f>
        <v/>
      </c>
      <c r="D32" t="str">
        <f>IF($A32="","",COUNTIFS(LL[Reason for Line Listing],"Case",LL[Role],D$3,LL[Day 0],$A32))</f>
        <v/>
      </c>
      <c r="E32" t="str">
        <f>IF($A32="","",COUNTIFS(LL[Reason for Line Listing],"Case",LL[Role],E$3,LL[Day 0],$A32))</f>
        <v/>
      </c>
      <c r="F32" t="str">
        <f>IF($A32="","",COUNTIFS(LL[Reason for Line Listing],"Case",LL[Role],F$3,LL[Day 0],$A32))</f>
        <v/>
      </c>
      <c r="G32" t="str">
        <f>IF($A32="","",COUNTIFS(LL[Reason for Line Listing],"Case",LL[Role],G$3,LL[Day 0],$A32))</f>
        <v/>
      </c>
      <c r="H32" t="str">
        <f>IF($A32="","",COUNTIFS(LL[Reason for Line Listing],"Case",LL[Role],H$3,LL[Day 0],$A32))</f>
        <v/>
      </c>
      <c r="I32" t="str">
        <f>IF($A32="","",COUNTIFS(LL[Reason for Line Listing],"Case",LL[Role],I$3,LL[Day 0],$A32))</f>
        <v/>
      </c>
      <c r="J32" t="str">
        <f>IF($A32="","",COUNTIFS(LL[Reason for Line Listing],"Case",LL[Role],J$3,LL[Day 0],$A32))</f>
        <v/>
      </c>
      <c r="K32" s="145" t="str">
        <f t="shared" si="1"/>
        <v/>
      </c>
      <c r="L32">
        <v>9</v>
      </c>
      <c r="M32" t="str">
        <f ca="1">INDEX(Symptoms[],MATCH($L32,Symptoms[Practical Rank],0),1)</f>
        <v>Malaise</v>
      </c>
      <c r="N32">
        <f ca="1">INDEX(Symptoms[],MATCH($L32,Symptoms[Practical Rank],0),2)</f>
        <v>0</v>
      </c>
      <c r="O32">
        <f ca="1">INDEX(Symptoms[],MATCH($L32,Symptoms[Practical Rank],0),3)</f>
        <v>0</v>
      </c>
      <c r="P32">
        <f ca="1">INDEX(Symptoms[],MATCH($L32,Symptoms[Practical Rank],0),4)</f>
        <v>0</v>
      </c>
      <c r="Q32">
        <f ca="1">INDEX(Symptoms[],MATCH($L32,Symptoms[Practical Rank],0),5)</f>
        <v>0</v>
      </c>
      <c r="R32" t="e">
        <f ca="1">INDEX(Symptoms[],MATCH($L32,Symptoms[Practical Rank],0),6)</f>
        <v>#DIV/0!</v>
      </c>
      <c r="S32" t="e">
        <f ca="1">INDEX(Symptoms[],MATCH($L32,Symptoms[Practical Rank],0),7)</f>
        <v>#DIV/0!</v>
      </c>
      <c r="T32" t="e">
        <f ca="1">INDEX(Symptoms[],MATCH($L32,Symptoms[Practical Rank],0),8)</f>
        <v>#DIV/0!</v>
      </c>
      <c r="U32" t="e">
        <f ca="1">INDEX(Symptoms[],MATCH($L32,Symptoms[Practical Rank],0),9)</f>
        <v>#DIV/0!</v>
      </c>
      <c r="V32" t="e">
        <f ca="1">INDEX(Symptoms[],MATCH($L32,Symptoms[Practical Rank],0),10)</f>
        <v>#DIV/0!</v>
      </c>
      <c r="W32" t="e">
        <f ca="1">INDEX(Symptoms[],MATCH($L32,Symptoms[Practical Rank],0),11)</f>
        <v>#DIV/0!</v>
      </c>
      <c r="X32" t="str">
        <f ca="1">INDEX(Symptoms[],MATCH($L32,Symptoms[Practical Rank],0),15)</f>
        <v>S</v>
      </c>
      <c r="Y32" s="145" t="str">
        <f t="shared" ca="1" si="15"/>
        <v/>
      </c>
      <c r="AC32" t="str">
        <f>"Date Declared: "&amp;IF(ISBLANK(Reported),"NOT ENTERED",TEXT(Declared,"mmm d, yyyy"))</f>
        <v>Date Declared: NOT ENTERED</v>
      </c>
      <c r="AU32" s="107" t="str">
        <f>IF(ISBLANK('Basic Information'!A49),"",'Basic Information'!A49&amp;": "&amp;COUNTIFS(LL[Reason for Line Listing],"Case",LL[Area],'Basic Information'!A49,LL[Vaccinated - COVID],"Y"))</f>
        <v/>
      </c>
      <c r="AV32" t="str">
        <f>IF(COUNTIFS(LL[Reason for Line Listing],"Case",LL[Area],'Basic Information'!A49,LL[Vaccinated - COVID],"Y")=0,"","Cases among vaccinated people in the "&amp;'Basic Information'!A49&amp;" numbered "&amp;COUNTIFS(LL[Reason for Line Listing],"Case",LL[Area],'Basic Information'!A49,LL[Vaccinated - COVID],"Y")&amp;". " )</f>
        <v/>
      </c>
    </row>
    <row r="33" spans="1:48" x14ac:dyDescent="0.3">
      <c r="A33" s="106" t="str">
        <f>IF(A32="","",IF(A32=MAX(LL[Day 0]),"",A32+1))</f>
        <v/>
      </c>
      <c r="B33" t="str">
        <f>IF($A33="","",COUNTIFS(LL[Reason for Line Listing],"Case",LL[Role],B$3,LL[Day 0],$A33))</f>
        <v/>
      </c>
      <c r="C33" t="str">
        <f>IF($A33="","",COUNTIFS(LL[Reason for Line Listing],"Case",LL[Role],C$3,LL[Day 0],$A33))</f>
        <v/>
      </c>
      <c r="D33" t="str">
        <f>IF($A33="","",COUNTIFS(LL[Reason for Line Listing],"Case",LL[Role],D$3,LL[Day 0],$A33))</f>
        <v/>
      </c>
      <c r="E33" t="str">
        <f>IF($A33="","",COUNTIFS(LL[Reason for Line Listing],"Case",LL[Role],E$3,LL[Day 0],$A33))</f>
        <v/>
      </c>
      <c r="F33" t="str">
        <f>IF($A33="","",COUNTIFS(LL[Reason for Line Listing],"Case",LL[Role],F$3,LL[Day 0],$A33))</f>
        <v/>
      </c>
      <c r="G33" t="str">
        <f>IF($A33="","",COUNTIFS(LL[Reason for Line Listing],"Case",LL[Role],G$3,LL[Day 0],$A33))</f>
        <v/>
      </c>
      <c r="H33" t="str">
        <f>IF($A33="","",COUNTIFS(LL[Reason for Line Listing],"Case",LL[Role],H$3,LL[Day 0],$A33))</f>
        <v/>
      </c>
      <c r="I33" t="str">
        <f>IF($A33="","",COUNTIFS(LL[Reason for Line Listing],"Case",LL[Role],I$3,LL[Day 0],$A33))</f>
        <v/>
      </c>
      <c r="J33" t="str">
        <f>IF($A33="","",COUNTIFS(LL[Reason for Line Listing],"Case",LL[Role],J$3,LL[Day 0],$A33))</f>
        <v/>
      </c>
      <c r="K33" s="145" t="str">
        <f t="shared" si="1"/>
        <v/>
      </c>
      <c r="L33">
        <v>10</v>
      </c>
      <c r="M33" t="str">
        <f ca="1">INDEX(Symptoms[],MATCH($L33,Symptoms[Practical Rank],0),1)</f>
        <v>Chills</v>
      </c>
      <c r="N33">
        <f ca="1">INDEX(Symptoms[],MATCH($L33,Symptoms[Practical Rank],0),2)</f>
        <v>0</v>
      </c>
      <c r="O33">
        <f ca="1">INDEX(Symptoms[],MATCH($L33,Symptoms[Practical Rank],0),3)</f>
        <v>0</v>
      </c>
      <c r="P33">
        <f ca="1">INDEX(Symptoms[],MATCH($L33,Symptoms[Practical Rank],0),4)</f>
        <v>0</v>
      </c>
      <c r="Q33">
        <f ca="1">INDEX(Symptoms[],MATCH($L33,Symptoms[Practical Rank],0),5)</f>
        <v>0</v>
      </c>
      <c r="R33" t="e">
        <f ca="1">INDEX(Symptoms[],MATCH($L33,Symptoms[Practical Rank],0),6)</f>
        <v>#DIV/0!</v>
      </c>
      <c r="S33" t="e">
        <f ca="1">INDEX(Symptoms[],MATCH($L33,Symptoms[Practical Rank],0),7)</f>
        <v>#DIV/0!</v>
      </c>
      <c r="T33" t="e">
        <f ca="1">INDEX(Symptoms[],MATCH($L33,Symptoms[Practical Rank],0),8)</f>
        <v>#DIV/0!</v>
      </c>
      <c r="U33" t="e">
        <f ca="1">INDEX(Symptoms[],MATCH($L33,Symptoms[Practical Rank],0),9)</f>
        <v>#DIV/0!</v>
      </c>
      <c r="V33" t="e">
        <f ca="1">INDEX(Symptoms[],MATCH($L33,Symptoms[Practical Rank],0),10)</f>
        <v>#DIV/0!</v>
      </c>
      <c r="W33" t="e">
        <f ca="1">INDEX(Symptoms[],MATCH($L33,Symptoms[Practical Rank],0),11)</f>
        <v>#DIV/0!</v>
      </c>
      <c r="X33" t="str">
        <f ca="1">INDEX(Symptoms[],MATCH($L33,Symptoms[Practical Rank],0),15)</f>
        <v>S</v>
      </c>
      <c r="Y33" s="145" t="str">
        <f t="shared" ca="1" si="15"/>
        <v/>
      </c>
      <c r="AC33" t="str">
        <f>"Date Declared Over: "&amp;IF(ISBLANK(Over),"STILL ACTIVE",TEXT(Over,"mmm d, yyyy"))</f>
        <v>Date Declared Over: STILL ACTIVE</v>
      </c>
      <c r="AU33" s="107" t="str">
        <f>IF(ISBLANK('Basic Information'!A50),"",'Basic Information'!A50&amp;": "&amp;COUNTIFS(LL[Reason for Line Listing],"Case",LL[Area],'Basic Information'!A50,LL[Vaccinated - COVID],"Y"))</f>
        <v/>
      </c>
      <c r="AV33" t="str">
        <f>IF(COUNTIFS(LL[Reason for Line Listing],"Case",LL[Area],'Basic Information'!A50,LL[Vaccinated - COVID],"Y")=0,"","Cases among vaccinated people in the "&amp;'Basic Information'!A50&amp;" numbered "&amp;COUNTIFS(LL[Reason for Line Listing],"Case",LL[Area],'Basic Information'!A50,LL[Vaccinated - COVID],"Y")&amp;". " )</f>
        <v/>
      </c>
    </row>
    <row r="34" spans="1:48" x14ac:dyDescent="0.3">
      <c r="A34" s="106" t="str">
        <f>IF(A33="","",IF(A33=MAX(LL[Day 0]),"",A33+1))</f>
        <v/>
      </c>
      <c r="B34" t="str">
        <f>IF($A34="","",COUNTIFS(LL[Reason for Line Listing],"Case",LL[Role],B$3,LL[Day 0],$A34))</f>
        <v/>
      </c>
      <c r="C34" t="str">
        <f>IF($A34="","",COUNTIFS(LL[Reason for Line Listing],"Case",LL[Role],C$3,LL[Day 0],$A34))</f>
        <v/>
      </c>
      <c r="D34" t="str">
        <f>IF($A34="","",COUNTIFS(LL[Reason for Line Listing],"Case",LL[Role],D$3,LL[Day 0],$A34))</f>
        <v/>
      </c>
      <c r="E34" t="str">
        <f>IF($A34="","",COUNTIFS(LL[Reason for Line Listing],"Case",LL[Role],E$3,LL[Day 0],$A34))</f>
        <v/>
      </c>
      <c r="F34" t="str">
        <f>IF($A34="","",COUNTIFS(LL[Reason for Line Listing],"Case",LL[Role],F$3,LL[Day 0],$A34))</f>
        <v/>
      </c>
      <c r="G34" t="str">
        <f>IF($A34="","",COUNTIFS(LL[Reason for Line Listing],"Case",LL[Role],G$3,LL[Day 0],$A34))</f>
        <v/>
      </c>
      <c r="H34" t="str">
        <f>IF($A34="","",COUNTIFS(LL[Reason for Line Listing],"Case",LL[Role],H$3,LL[Day 0],$A34))</f>
        <v/>
      </c>
      <c r="I34" t="str">
        <f>IF($A34="","",COUNTIFS(LL[Reason for Line Listing],"Case",LL[Role],I$3,LL[Day 0],$A34))</f>
        <v/>
      </c>
      <c r="J34" t="str">
        <f>IF($A34="","",COUNTIFS(LL[Reason for Line Listing],"Case",LL[Role],J$3,LL[Day 0],$A34))</f>
        <v/>
      </c>
      <c r="K34" s="145" t="str">
        <f t="shared" si="1"/>
        <v/>
      </c>
      <c r="L34">
        <v>11</v>
      </c>
      <c r="M34" t="str">
        <f ca="1">INDEX(Symptoms[],MATCH($L34,Symptoms[Practical Rank],0),1)</f>
        <v>Headache</v>
      </c>
      <c r="N34">
        <f ca="1">INDEX(Symptoms[],MATCH($L34,Symptoms[Practical Rank],0),2)</f>
        <v>0</v>
      </c>
      <c r="O34">
        <f ca="1">INDEX(Symptoms[],MATCH($L34,Symptoms[Practical Rank],0),3)</f>
        <v>0</v>
      </c>
      <c r="P34">
        <f ca="1">INDEX(Symptoms[],MATCH($L34,Symptoms[Practical Rank],0),4)</f>
        <v>0</v>
      </c>
      <c r="Q34">
        <f ca="1">INDEX(Symptoms[],MATCH($L34,Symptoms[Practical Rank],0),5)</f>
        <v>0</v>
      </c>
      <c r="R34" t="e">
        <f ca="1">INDEX(Symptoms[],MATCH($L34,Symptoms[Practical Rank],0),6)</f>
        <v>#DIV/0!</v>
      </c>
      <c r="S34" t="e">
        <f ca="1">INDEX(Symptoms[],MATCH($L34,Symptoms[Practical Rank],0),7)</f>
        <v>#DIV/0!</v>
      </c>
      <c r="T34" t="e">
        <f ca="1">INDEX(Symptoms[],MATCH($L34,Symptoms[Practical Rank],0),8)</f>
        <v>#DIV/0!</v>
      </c>
      <c r="U34" t="e">
        <f ca="1">INDEX(Symptoms[],MATCH($L34,Symptoms[Practical Rank],0),9)</f>
        <v>#DIV/0!</v>
      </c>
      <c r="V34" t="e">
        <f ca="1">INDEX(Symptoms[],MATCH($L34,Symptoms[Practical Rank],0),10)</f>
        <v>#DIV/0!</v>
      </c>
      <c r="W34" t="e">
        <f ca="1">INDEX(Symptoms[],MATCH($L34,Symptoms[Practical Rank],0),11)</f>
        <v>#DIV/0!</v>
      </c>
      <c r="X34" t="str">
        <f ca="1">INDEX(Symptoms[],MATCH($L34,Symptoms[Practical Rank],0),15)</f>
        <v>S</v>
      </c>
      <c r="Y34" s="145" t="str">
        <f t="shared" ca="1" si="15"/>
        <v/>
      </c>
      <c r="AC34" t="str">
        <f>"Earliest Symptom Onset: "&amp;IF(COUNTIFS(LL[Sx Onset Date],"&gt;"&amp;0,LL[Reason for Line Listing],"Case")=0,"No symptomatic cases reported",TEXT(_xlfn.MINIFS(LL[Sx Onset Date],LL[Reason for Line Listing],"Case"),"mmm d,  yyyy"))</f>
        <v>Earliest Symptom Onset: No symptomatic cases reported</v>
      </c>
      <c r="AU34" s="107" t="str">
        <f>IF(ISBLANK('Basic Information'!A51),"",'Basic Information'!A51&amp;": "&amp;COUNTIFS(LL[Reason for Line Listing],"Case",LL[Area],'Basic Information'!A51,LL[Vaccinated - COVID],"Y"))</f>
        <v/>
      </c>
      <c r="AV34" t="str">
        <f>IF(COUNTIFS(LL[Reason for Line Listing],"Case",LL[Area],'Basic Information'!A51,LL[Vaccinated - COVID],"Y")=0,"","Cases among vaccinated people in the "&amp;'Basic Information'!A51&amp;" numbered "&amp;COUNTIFS(LL[Reason for Line Listing],"Case",LL[Area],'Basic Information'!A51,LL[Vaccinated - COVID],"Y")&amp;". " )</f>
        <v/>
      </c>
    </row>
    <row r="35" spans="1:48" x14ac:dyDescent="0.3">
      <c r="A35" s="106" t="str">
        <f>IF(A34="","",IF(A34=MAX(LL[Day 0]),"",A34+1))</f>
        <v/>
      </c>
      <c r="B35" t="str">
        <f>IF($A35="","",COUNTIFS(LL[Reason for Line Listing],"Case",LL[Role],B$3,LL[Day 0],$A35))</f>
        <v/>
      </c>
      <c r="C35" t="str">
        <f>IF($A35="","",COUNTIFS(LL[Reason for Line Listing],"Case",LL[Role],C$3,LL[Day 0],$A35))</f>
        <v/>
      </c>
      <c r="D35" t="str">
        <f>IF($A35="","",COUNTIFS(LL[Reason for Line Listing],"Case",LL[Role],D$3,LL[Day 0],$A35))</f>
        <v/>
      </c>
      <c r="E35" t="str">
        <f>IF($A35="","",COUNTIFS(LL[Reason for Line Listing],"Case",LL[Role],E$3,LL[Day 0],$A35))</f>
        <v/>
      </c>
      <c r="F35" t="str">
        <f>IF($A35="","",COUNTIFS(LL[Reason for Line Listing],"Case",LL[Role],F$3,LL[Day 0],$A35))</f>
        <v/>
      </c>
      <c r="G35" t="str">
        <f>IF($A35="","",COUNTIFS(LL[Reason for Line Listing],"Case",LL[Role],G$3,LL[Day 0],$A35))</f>
        <v/>
      </c>
      <c r="H35" t="str">
        <f>IF($A35="","",COUNTIFS(LL[Reason for Line Listing],"Case",LL[Role],H$3,LL[Day 0],$A35))</f>
        <v/>
      </c>
      <c r="I35" t="str">
        <f>IF($A35="","",COUNTIFS(LL[Reason for Line Listing],"Case",LL[Role],I$3,LL[Day 0],$A35))</f>
        <v/>
      </c>
      <c r="J35" t="str">
        <f>IF($A35="","",COUNTIFS(LL[Reason for Line Listing],"Case",LL[Role],J$3,LL[Day 0],$A35))</f>
        <v/>
      </c>
      <c r="K35" s="145" t="str">
        <f t="shared" si="1"/>
        <v/>
      </c>
      <c r="L35">
        <v>12</v>
      </c>
      <c r="M35" t="str">
        <f ca="1">INDEX(Symptoms[],MATCH($L35,Symptoms[Practical Rank],0),1)</f>
        <v>Abnormal Temperature / Fever</v>
      </c>
      <c r="N35">
        <f ca="1">INDEX(Symptoms[],MATCH($L35,Symptoms[Practical Rank],0),2)</f>
        <v>0</v>
      </c>
      <c r="O35">
        <f ca="1">INDEX(Symptoms[],MATCH($L35,Symptoms[Practical Rank],0),3)</f>
        <v>0</v>
      </c>
      <c r="P35">
        <f ca="1">INDEX(Symptoms[],MATCH($L35,Symptoms[Practical Rank],0),4)</f>
        <v>0</v>
      </c>
      <c r="Q35">
        <f ca="1">INDEX(Symptoms[],MATCH($L35,Symptoms[Practical Rank],0),5)</f>
        <v>0</v>
      </c>
      <c r="R35" t="e">
        <f ca="1">INDEX(Symptoms[],MATCH($L35,Symptoms[Practical Rank],0),6)</f>
        <v>#DIV/0!</v>
      </c>
      <c r="S35" t="e">
        <f ca="1">INDEX(Symptoms[],MATCH($L35,Symptoms[Practical Rank],0),7)</f>
        <v>#DIV/0!</v>
      </c>
      <c r="T35" t="e">
        <f ca="1">INDEX(Symptoms[],MATCH($L35,Symptoms[Practical Rank],0),8)</f>
        <v>#DIV/0!</v>
      </c>
      <c r="U35" t="e">
        <f ca="1">INDEX(Symptoms[],MATCH($L35,Symptoms[Practical Rank],0),9)</f>
        <v>#DIV/0!</v>
      </c>
      <c r="V35" t="e">
        <f ca="1">INDEX(Symptoms[],MATCH($L35,Symptoms[Practical Rank],0),10)</f>
        <v>#DIV/0!</v>
      </c>
      <c r="W35" t="e">
        <f ca="1">INDEX(Symptoms[],MATCH($L35,Symptoms[Practical Rank],0),11)</f>
        <v>#DIV/0!</v>
      </c>
      <c r="X35" t="str">
        <f ca="1">INDEX(Symptoms[],MATCH($L35,Symptoms[Practical Rank],0),15)</f>
        <v>S</v>
      </c>
      <c r="Y35" s="145" t="str">
        <f t="shared" ca="1" si="15"/>
        <v/>
      </c>
      <c r="AH35" t="str">
        <f>IF(ISBLANK(Contact),"Enter Facility Contact","Facility OB Contact: "&amp;Contact)</f>
        <v>Enter Facility Contact</v>
      </c>
    </row>
    <row r="36" spans="1:48" ht="15" customHeight="1" x14ac:dyDescent="0.3">
      <c r="A36" s="106" t="str">
        <f>IF(A35="","",IF(A35=MAX(LL[Day 0]),"",A35+1))</f>
        <v/>
      </c>
      <c r="B36" t="str">
        <f>IF($A36="","",COUNTIFS(LL[Reason for Line Listing],"Case",LL[Role],B$3,LL[Day 0],$A36))</f>
        <v/>
      </c>
      <c r="C36" t="str">
        <f>IF($A36="","",COUNTIFS(LL[Reason for Line Listing],"Case",LL[Role],C$3,LL[Day 0],$A36))</f>
        <v/>
      </c>
      <c r="D36" t="str">
        <f>IF($A36="","",COUNTIFS(LL[Reason for Line Listing],"Case",LL[Role],D$3,LL[Day 0],$A36))</f>
        <v/>
      </c>
      <c r="E36" t="str">
        <f>IF($A36="","",COUNTIFS(LL[Reason for Line Listing],"Case",LL[Role],E$3,LL[Day 0],$A36))</f>
        <v/>
      </c>
      <c r="F36" t="str">
        <f>IF($A36="","",COUNTIFS(LL[Reason for Line Listing],"Case",LL[Role],F$3,LL[Day 0],$A36))</f>
        <v/>
      </c>
      <c r="G36" t="str">
        <f>IF($A36="","",COUNTIFS(LL[Reason for Line Listing],"Case",LL[Role],G$3,LL[Day 0],$A36))</f>
        <v/>
      </c>
      <c r="H36" t="str">
        <f>IF($A36="","",COUNTIFS(LL[Reason for Line Listing],"Case",LL[Role],H$3,LL[Day 0],$A36))</f>
        <v/>
      </c>
      <c r="I36" t="str">
        <f>IF($A36="","",COUNTIFS(LL[Reason for Line Listing],"Case",LL[Role],I$3,LL[Day 0],$A36))</f>
        <v/>
      </c>
      <c r="J36" t="str">
        <f>IF($A36="","",COUNTIFS(LL[Reason for Line Listing],"Case",LL[Role],J$3,LL[Day 0],$A36))</f>
        <v/>
      </c>
      <c r="K36" s="145" t="str">
        <f t="shared" si="1"/>
        <v/>
      </c>
      <c r="L36">
        <v>13</v>
      </c>
      <c r="M36" t="str">
        <f ca="1">INDEX(Symptoms[],MATCH($L36,Symptoms[Practical Rank],0),1)</f>
        <v>Decrease / Loss of Smell or Taste</v>
      </c>
      <c r="N36">
        <f ca="1">INDEX(Symptoms[],MATCH($L36,Symptoms[Practical Rank],0),2)</f>
        <v>0</v>
      </c>
      <c r="O36">
        <f ca="1">INDEX(Symptoms[],MATCH($L36,Symptoms[Practical Rank],0),3)</f>
        <v>0</v>
      </c>
      <c r="P36">
        <f ca="1">INDEX(Symptoms[],MATCH($L36,Symptoms[Practical Rank],0),4)</f>
        <v>0</v>
      </c>
      <c r="Q36">
        <f ca="1">INDEX(Symptoms[],MATCH($L36,Symptoms[Practical Rank],0),5)</f>
        <v>0</v>
      </c>
      <c r="R36" t="e">
        <f ca="1">INDEX(Symptoms[],MATCH($L36,Symptoms[Practical Rank],0),6)</f>
        <v>#DIV/0!</v>
      </c>
      <c r="S36" t="e">
        <f ca="1">INDEX(Symptoms[],MATCH($L36,Symptoms[Practical Rank],0),7)</f>
        <v>#DIV/0!</v>
      </c>
      <c r="T36" t="e">
        <f ca="1">INDEX(Symptoms[],MATCH($L36,Symptoms[Practical Rank],0),8)</f>
        <v>#DIV/0!</v>
      </c>
      <c r="U36" t="e">
        <f ca="1">INDEX(Symptoms[],MATCH($L36,Symptoms[Practical Rank],0),9)</f>
        <v>#DIV/0!</v>
      </c>
      <c r="V36" t="e">
        <f ca="1">INDEX(Symptoms[],MATCH($L36,Symptoms[Practical Rank],0),10)</f>
        <v>#DIV/0!</v>
      </c>
      <c r="W36" t="e">
        <f ca="1">INDEX(Symptoms[],MATCH($L36,Symptoms[Practical Rank],0),11)</f>
        <v>#DIV/0!</v>
      </c>
      <c r="X36" t="str">
        <f ca="1">INDEX(Symptoms[],MATCH($L36,Symptoms[Practical Rank],0),15)</f>
        <v>R</v>
      </c>
      <c r="Y36" s="145" t="str">
        <f t="shared" ca="1" si="15"/>
        <v/>
      </c>
      <c r="AC36" t="str">
        <f>IF(ISBLANK(Organism),"Enter Causative Organism","Causative Organism: "&amp;TRIM(Organism)&amp;IF(Organism2&lt;&gt;"",", "&amp;TRIM(Organism2),"")&amp;IF(Organism3&lt;&gt;"",", "&amp;TRIM(Organism3),""))</f>
        <v>Enter Causative Organism</v>
      </c>
      <c r="AH36" t="str">
        <f>IF(ISBLANK(Phone),"Enter Contact Phone #","Contact Phone: "&amp;Phone)</f>
        <v>Enter Contact Phone #</v>
      </c>
    </row>
    <row r="37" spans="1:48" x14ac:dyDescent="0.3">
      <c r="A37" s="106" t="str">
        <f>IF(A36="","",IF(A36=MAX(LL[Day 0]),"",A36+1))</f>
        <v/>
      </c>
      <c r="B37" t="str">
        <f>IF($A37="","",COUNTIFS(LL[Reason for Line Listing],"Case",LL[Role],B$3,LL[Day 0],$A37))</f>
        <v/>
      </c>
      <c r="C37" t="str">
        <f>IF($A37="","",COUNTIFS(LL[Reason for Line Listing],"Case",LL[Role],C$3,LL[Day 0],$A37))</f>
        <v/>
      </c>
      <c r="D37" t="str">
        <f>IF($A37="","",COUNTIFS(LL[Reason for Line Listing],"Case",LL[Role],D$3,LL[Day 0],$A37))</f>
        <v/>
      </c>
      <c r="E37" t="str">
        <f>IF($A37="","",COUNTIFS(LL[Reason for Line Listing],"Case",LL[Role],E$3,LL[Day 0],$A37))</f>
        <v/>
      </c>
      <c r="F37" t="str">
        <f>IF($A37="","",COUNTIFS(LL[Reason for Line Listing],"Case",LL[Role],F$3,LL[Day 0],$A37))</f>
        <v/>
      </c>
      <c r="G37" t="str">
        <f>IF($A37="","",COUNTIFS(LL[Reason for Line Listing],"Case",LL[Role],G$3,LL[Day 0],$A37))</f>
        <v/>
      </c>
      <c r="H37" t="str">
        <f>IF($A37="","",COUNTIFS(LL[Reason for Line Listing],"Case",LL[Role],H$3,LL[Day 0],$A37))</f>
        <v/>
      </c>
      <c r="I37" t="str">
        <f>IF($A37="","",COUNTIFS(LL[Reason for Line Listing],"Case",LL[Role],I$3,LL[Day 0],$A37))</f>
        <v/>
      </c>
      <c r="J37" t="str">
        <f>IF($A37="","",COUNTIFS(LL[Reason for Line Listing],"Case",LL[Role],J$3,LL[Day 0],$A37))</f>
        <v/>
      </c>
      <c r="K37" s="145" t="str">
        <f t="shared" si="1"/>
        <v/>
      </c>
      <c r="L37">
        <v>14</v>
      </c>
      <c r="M37" t="str">
        <f ca="1">INDEX(Symptoms[],MATCH($L37,Symptoms[Practical Rank],0),1)</f>
        <v>Runny Nose / Sneezing</v>
      </c>
      <c r="N37">
        <f ca="1">INDEX(Symptoms[],MATCH($L37,Symptoms[Practical Rank],0),2)</f>
        <v>0</v>
      </c>
      <c r="O37">
        <f ca="1">INDEX(Symptoms[],MATCH($L37,Symptoms[Practical Rank],0),3)</f>
        <v>0</v>
      </c>
      <c r="P37">
        <f ca="1">INDEX(Symptoms[],MATCH($L37,Symptoms[Practical Rank],0),4)</f>
        <v>0</v>
      </c>
      <c r="Q37">
        <f ca="1">INDEX(Symptoms[],MATCH($L37,Symptoms[Practical Rank],0),5)</f>
        <v>0</v>
      </c>
      <c r="R37" t="e">
        <f ca="1">INDEX(Symptoms[],MATCH($L37,Symptoms[Practical Rank],0),6)</f>
        <v>#DIV/0!</v>
      </c>
      <c r="S37" t="e">
        <f ca="1">INDEX(Symptoms[],MATCH($L37,Symptoms[Practical Rank],0),7)</f>
        <v>#DIV/0!</v>
      </c>
      <c r="T37" t="e">
        <f ca="1">INDEX(Symptoms[],MATCH($L37,Symptoms[Practical Rank],0),8)</f>
        <v>#DIV/0!</v>
      </c>
      <c r="U37" t="e">
        <f ca="1">INDEX(Symptoms[],MATCH($L37,Symptoms[Practical Rank],0),9)</f>
        <v>#DIV/0!</v>
      </c>
      <c r="V37" t="e">
        <f ca="1">INDEX(Symptoms[],MATCH($L37,Symptoms[Practical Rank],0),10)</f>
        <v>#DIV/0!</v>
      </c>
      <c r="W37" t="e">
        <f ca="1">INDEX(Symptoms[],MATCH($L37,Symptoms[Practical Rank],0),11)</f>
        <v>#DIV/0!</v>
      </c>
      <c r="X37" t="str">
        <f ca="1">INDEX(Symptoms[],MATCH($L37,Symptoms[Practical Rank],0),15)</f>
        <v>R</v>
      </c>
      <c r="Y37" s="145" t="str">
        <f t="shared" ca="1" si="15"/>
        <v/>
      </c>
    </row>
    <row r="38" spans="1:48" x14ac:dyDescent="0.3">
      <c r="A38" s="106" t="str">
        <f>IF(A37="","",IF(A37=MAX(LL[Day 0]),"",A37+1))</f>
        <v/>
      </c>
      <c r="B38" t="str">
        <f>IF($A38="","",COUNTIFS(LL[Reason for Line Listing],"Case",LL[Role],B$3,LL[Day 0],$A38))</f>
        <v/>
      </c>
      <c r="C38" t="str">
        <f>IF($A38="","",COUNTIFS(LL[Reason for Line Listing],"Case",LL[Role],C$3,LL[Day 0],$A38))</f>
        <v/>
      </c>
      <c r="D38" t="str">
        <f>IF($A38="","",COUNTIFS(LL[Reason for Line Listing],"Case",LL[Role],D$3,LL[Day 0],$A38))</f>
        <v/>
      </c>
      <c r="E38" t="str">
        <f>IF($A38="","",COUNTIFS(LL[Reason for Line Listing],"Case",LL[Role],E$3,LL[Day 0],$A38))</f>
        <v/>
      </c>
      <c r="F38" t="str">
        <f>IF($A38="","",COUNTIFS(LL[Reason for Line Listing],"Case",LL[Role],F$3,LL[Day 0],$A38))</f>
        <v/>
      </c>
      <c r="G38" t="str">
        <f>IF($A38="","",COUNTIFS(LL[Reason for Line Listing],"Case",LL[Role],G$3,LL[Day 0],$A38))</f>
        <v/>
      </c>
      <c r="H38" t="str">
        <f>IF($A38="","",COUNTIFS(LL[Reason for Line Listing],"Case",LL[Role],H$3,LL[Day 0],$A38))</f>
        <v/>
      </c>
      <c r="I38" t="str">
        <f>IF($A38="","",COUNTIFS(LL[Reason for Line Listing],"Case",LL[Role],I$3,LL[Day 0],$A38))</f>
        <v/>
      </c>
      <c r="J38" t="str">
        <f>IF($A38="","",COUNTIFS(LL[Reason for Line Listing],"Case",LL[Role],J$3,LL[Day 0],$A38))</f>
        <v/>
      </c>
      <c r="K38" s="145" t="str">
        <f t="shared" si="1"/>
        <v/>
      </c>
      <c r="L38">
        <v>15</v>
      </c>
      <c r="M38" t="str">
        <f ca="1">INDEX(Symptoms[],MATCH($L38,Symptoms[Practical Rank],0),1)</f>
        <v>Nasal Congestion (Stuffy Nose)</v>
      </c>
      <c r="N38">
        <f ca="1">INDEX(Symptoms[],MATCH($L38,Symptoms[Practical Rank],0),2)</f>
        <v>0</v>
      </c>
      <c r="O38">
        <f ca="1">INDEX(Symptoms[],MATCH($L38,Symptoms[Practical Rank],0),3)</f>
        <v>0</v>
      </c>
      <c r="P38">
        <f ca="1">INDEX(Symptoms[],MATCH($L38,Symptoms[Practical Rank],0),4)</f>
        <v>0</v>
      </c>
      <c r="Q38">
        <f ca="1">INDEX(Symptoms[],MATCH($L38,Symptoms[Practical Rank],0),5)</f>
        <v>0</v>
      </c>
      <c r="R38" t="e">
        <f ca="1">INDEX(Symptoms[],MATCH($L38,Symptoms[Practical Rank],0),6)</f>
        <v>#DIV/0!</v>
      </c>
      <c r="S38" t="e">
        <f ca="1">INDEX(Symptoms[],MATCH($L38,Symptoms[Practical Rank],0),7)</f>
        <v>#DIV/0!</v>
      </c>
      <c r="T38" t="e">
        <f ca="1">INDEX(Symptoms[],MATCH($L38,Symptoms[Practical Rank],0),8)</f>
        <v>#DIV/0!</v>
      </c>
      <c r="U38" t="e">
        <f ca="1">INDEX(Symptoms[],MATCH($L38,Symptoms[Practical Rank],0),9)</f>
        <v>#DIV/0!</v>
      </c>
      <c r="V38" t="e">
        <f ca="1">INDEX(Symptoms[],MATCH($L38,Symptoms[Practical Rank],0),10)</f>
        <v>#DIV/0!</v>
      </c>
      <c r="W38" t="e">
        <f ca="1">INDEX(Symptoms[],MATCH($L38,Symptoms[Practical Rank],0),11)</f>
        <v>#DIV/0!</v>
      </c>
      <c r="X38" t="str">
        <f ca="1">INDEX(Symptoms[],MATCH($L38,Symptoms[Practical Rank],0),15)</f>
        <v>R</v>
      </c>
      <c r="Y38" s="145" t="str">
        <f t="shared" ca="1" si="15"/>
        <v/>
      </c>
    </row>
    <row r="39" spans="1:48" x14ac:dyDescent="0.3">
      <c r="A39" s="106" t="str">
        <f>IF(A38="","",IF(A38=MAX(LL[Day 0]),"",A38+1))</f>
        <v/>
      </c>
      <c r="B39" t="str">
        <f>IF($A39="","",COUNTIFS(LL[Reason for Line Listing],"Case",LL[Role],B$3,LL[Day 0],$A39))</f>
        <v/>
      </c>
      <c r="C39" t="str">
        <f>IF($A39="","",COUNTIFS(LL[Reason for Line Listing],"Case",LL[Role],C$3,LL[Day 0],$A39))</f>
        <v/>
      </c>
      <c r="D39" t="str">
        <f>IF($A39="","",COUNTIFS(LL[Reason for Line Listing],"Case",LL[Role],D$3,LL[Day 0],$A39))</f>
        <v/>
      </c>
      <c r="E39" t="str">
        <f>IF($A39="","",COUNTIFS(LL[Reason for Line Listing],"Case",LL[Role],E$3,LL[Day 0],$A39))</f>
        <v/>
      </c>
      <c r="F39" t="str">
        <f>IF($A39="","",COUNTIFS(LL[Reason for Line Listing],"Case",LL[Role],F$3,LL[Day 0],$A39))</f>
        <v/>
      </c>
      <c r="G39" t="str">
        <f>IF($A39="","",COUNTIFS(LL[Reason for Line Listing],"Case",LL[Role],G$3,LL[Day 0],$A39))</f>
        <v/>
      </c>
      <c r="H39" t="str">
        <f>IF($A39="","",COUNTIFS(LL[Reason for Line Listing],"Case",LL[Role],H$3,LL[Day 0],$A39))</f>
        <v/>
      </c>
      <c r="I39" t="str">
        <f>IF($A39="","",COUNTIFS(LL[Reason for Line Listing],"Case",LL[Role],I$3,LL[Day 0],$A39))</f>
        <v/>
      </c>
      <c r="J39" t="str">
        <f>IF($A39="","",COUNTIFS(LL[Reason for Line Listing],"Case",LL[Role],J$3,LL[Day 0],$A39))</f>
        <v/>
      </c>
      <c r="K39" s="145" t="str">
        <f t="shared" si="1"/>
        <v/>
      </c>
      <c r="L39">
        <v>16</v>
      </c>
      <c r="M39" t="str">
        <f ca="1">INDEX(Symptoms[],MATCH($L39,Symptoms[Practical Rank],0),1)</f>
        <v>Cough (Dry, Productive, Worsening)</v>
      </c>
      <c r="N39">
        <f ca="1">INDEX(Symptoms[],MATCH($L39,Symptoms[Practical Rank],0),2)</f>
        <v>0</v>
      </c>
      <c r="O39">
        <f ca="1">INDEX(Symptoms[],MATCH($L39,Symptoms[Practical Rank],0),3)</f>
        <v>0</v>
      </c>
      <c r="P39">
        <f ca="1">INDEX(Symptoms[],MATCH($L39,Symptoms[Practical Rank],0),4)</f>
        <v>0</v>
      </c>
      <c r="Q39">
        <f ca="1">INDEX(Symptoms[],MATCH($L39,Symptoms[Practical Rank],0),5)</f>
        <v>0</v>
      </c>
      <c r="R39" t="e">
        <f ca="1">INDEX(Symptoms[],MATCH($L39,Symptoms[Practical Rank],0),6)</f>
        <v>#DIV/0!</v>
      </c>
      <c r="S39" t="e">
        <f ca="1">INDEX(Symptoms[],MATCH($L39,Symptoms[Practical Rank],0),7)</f>
        <v>#DIV/0!</v>
      </c>
      <c r="T39" t="e">
        <f ca="1">INDEX(Symptoms[],MATCH($L39,Symptoms[Practical Rank],0),8)</f>
        <v>#DIV/0!</v>
      </c>
      <c r="U39" t="e">
        <f ca="1">INDEX(Symptoms[],MATCH($L39,Symptoms[Practical Rank],0),9)</f>
        <v>#DIV/0!</v>
      </c>
      <c r="V39" t="e">
        <f ca="1">INDEX(Symptoms[],MATCH($L39,Symptoms[Practical Rank],0),10)</f>
        <v>#DIV/0!</v>
      </c>
      <c r="W39" t="e">
        <f ca="1">INDEX(Symptoms[],MATCH($L39,Symptoms[Practical Rank],0),11)</f>
        <v>#DIV/0!</v>
      </c>
      <c r="X39" t="str">
        <f ca="1">INDEX(Symptoms[],MATCH($L39,Symptoms[Practical Rank],0),15)</f>
        <v>R</v>
      </c>
      <c r="Y39" s="145" t="str">
        <f t="shared" ca="1" si="15"/>
        <v/>
      </c>
    </row>
    <row r="40" spans="1:48" x14ac:dyDescent="0.3">
      <c r="A40" s="106" t="str">
        <f>IF(A39="","",IF(A39=MAX(LL[Day 0]),"",A39+1))</f>
        <v/>
      </c>
      <c r="B40" t="str">
        <f>IF($A40="","",COUNTIFS(LL[Reason for Line Listing],"Case",LL[Role],B$3,LL[Day 0],$A40))</f>
        <v/>
      </c>
      <c r="C40" t="str">
        <f>IF($A40="","",COUNTIFS(LL[Reason for Line Listing],"Case",LL[Role],C$3,LL[Day 0],$A40))</f>
        <v/>
      </c>
      <c r="D40" t="str">
        <f>IF($A40="","",COUNTIFS(LL[Reason for Line Listing],"Case",LL[Role],D$3,LL[Day 0],$A40))</f>
        <v/>
      </c>
      <c r="E40" t="str">
        <f>IF($A40="","",COUNTIFS(LL[Reason for Line Listing],"Case",LL[Role],E$3,LL[Day 0],$A40))</f>
        <v/>
      </c>
      <c r="F40" t="str">
        <f>IF($A40="","",COUNTIFS(LL[Reason for Line Listing],"Case",LL[Role],F$3,LL[Day 0],$A40))</f>
        <v/>
      </c>
      <c r="G40" t="str">
        <f>IF($A40="","",COUNTIFS(LL[Reason for Line Listing],"Case",LL[Role],G$3,LL[Day 0],$A40))</f>
        <v/>
      </c>
      <c r="H40" t="str">
        <f>IF($A40="","",COUNTIFS(LL[Reason for Line Listing],"Case",LL[Role],H$3,LL[Day 0],$A40))</f>
        <v/>
      </c>
      <c r="I40" t="str">
        <f>IF($A40="","",COUNTIFS(LL[Reason for Line Listing],"Case",LL[Role],I$3,LL[Day 0],$A40))</f>
        <v/>
      </c>
      <c r="J40" t="str">
        <f>IF($A40="","",COUNTIFS(LL[Reason for Line Listing],"Case",LL[Role],J$3,LL[Day 0],$A40))</f>
        <v/>
      </c>
      <c r="K40" s="145" t="str">
        <f t="shared" si="1"/>
        <v/>
      </c>
      <c r="L40">
        <v>17</v>
      </c>
      <c r="M40" t="str">
        <f ca="1">INDEX(Symptoms[],MATCH($L40,Symptoms[Practical Rank],0),1)</f>
        <v>Sore Throat / Hoarseness (Specify)</v>
      </c>
      <c r="N40">
        <f ca="1">INDEX(Symptoms[],MATCH($L40,Symptoms[Practical Rank],0),2)</f>
        <v>0</v>
      </c>
      <c r="O40">
        <f ca="1">INDEX(Symptoms[],MATCH($L40,Symptoms[Practical Rank],0),3)</f>
        <v>0</v>
      </c>
      <c r="P40">
        <f ca="1">INDEX(Symptoms[],MATCH($L40,Symptoms[Practical Rank],0),4)</f>
        <v>0</v>
      </c>
      <c r="Q40">
        <f ca="1">INDEX(Symptoms[],MATCH($L40,Symptoms[Practical Rank],0),5)</f>
        <v>0</v>
      </c>
      <c r="R40" t="e">
        <f ca="1">INDEX(Symptoms[],MATCH($L40,Symptoms[Practical Rank],0),6)</f>
        <v>#DIV/0!</v>
      </c>
      <c r="S40" t="e">
        <f ca="1">INDEX(Symptoms[],MATCH($L40,Symptoms[Practical Rank],0),7)</f>
        <v>#DIV/0!</v>
      </c>
      <c r="T40" t="e">
        <f ca="1">INDEX(Symptoms[],MATCH($L40,Symptoms[Practical Rank],0),8)</f>
        <v>#DIV/0!</v>
      </c>
      <c r="U40" t="e">
        <f ca="1">INDEX(Symptoms[],MATCH($L40,Symptoms[Practical Rank],0),9)</f>
        <v>#DIV/0!</v>
      </c>
      <c r="V40" t="e">
        <f ca="1">INDEX(Symptoms[],MATCH($L40,Symptoms[Practical Rank],0),10)</f>
        <v>#DIV/0!</v>
      </c>
      <c r="W40" t="e">
        <f ca="1">INDEX(Symptoms[],MATCH($L40,Symptoms[Practical Rank],0),11)</f>
        <v>#DIV/0!</v>
      </c>
      <c r="X40" t="str">
        <f ca="1">INDEX(Symptoms[],MATCH($L40,Symptoms[Practical Rank],0),15)</f>
        <v>R</v>
      </c>
      <c r="Y40" s="145" t="str">
        <f t="shared" ca="1" si="15"/>
        <v/>
      </c>
    </row>
    <row r="41" spans="1:48" x14ac:dyDescent="0.3">
      <c r="A41" s="106" t="str">
        <f>IF(A40="","",IF(A40=MAX(LL[Day 0]),"",A40+1))</f>
        <v/>
      </c>
      <c r="B41" t="str">
        <f>IF($A41="","",COUNTIFS(LL[Reason for Line Listing],"Case",LL[Role],B$3,LL[Day 0],$A41))</f>
        <v/>
      </c>
      <c r="C41" t="str">
        <f>IF($A41="","",COUNTIFS(LL[Reason for Line Listing],"Case",LL[Role],C$3,LL[Day 0],$A41))</f>
        <v/>
      </c>
      <c r="D41" t="str">
        <f>IF($A41="","",COUNTIFS(LL[Reason for Line Listing],"Case",LL[Role],D$3,LL[Day 0],$A41))</f>
        <v/>
      </c>
      <c r="E41" t="str">
        <f>IF($A41="","",COUNTIFS(LL[Reason for Line Listing],"Case",LL[Role],E$3,LL[Day 0],$A41))</f>
        <v/>
      </c>
      <c r="F41" t="str">
        <f>IF($A41="","",COUNTIFS(LL[Reason for Line Listing],"Case",LL[Role],F$3,LL[Day 0],$A41))</f>
        <v/>
      </c>
      <c r="G41" t="str">
        <f>IF($A41="","",COUNTIFS(LL[Reason for Line Listing],"Case",LL[Role],G$3,LL[Day 0],$A41))</f>
        <v/>
      </c>
      <c r="H41" t="str">
        <f>IF($A41="","",COUNTIFS(LL[Reason for Line Listing],"Case",LL[Role],H$3,LL[Day 0],$A41))</f>
        <v/>
      </c>
      <c r="I41" t="str">
        <f>IF($A41="","",COUNTIFS(LL[Reason for Line Listing],"Case",LL[Role],I$3,LL[Day 0],$A41))</f>
        <v/>
      </c>
      <c r="J41" t="str">
        <f>IF($A41="","",COUNTIFS(LL[Reason for Line Listing],"Case",LL[Role],J$3,LL[Day 0],$A41))</f>
        <v/>
      </c>
      <c r="K41" s="145" t="str">
        <f t="shared" si="1"/>
        <v/>
      </c>
    </row>
    <row r="42" spans="1:48" ht="36" x14ac:dyDescent="0.35">
      <c r="A42" s="106" t="str">
        <f>IF(A41="","",IF(A41=MAX(LL[Day 0]),"",A41+1))</f>
        <v/>
      </c>
      <c r="B42" t="str">
        <f>IF($A42="","",COUNTIFS(LL[Reason for Line Listing],"Case",LL[Role],B$3,LL[Day 0],$A42))</f>
        <v/>
      </c>
      <c r="C42" t="str">
        <f>IF($A42="","",COUNTIFS(LL[Reason for Line Listing],"Case",LL[Role],C$3,LL[Day 0],$A42))</f>
        <v/>
      </c>
      <c r="D42" t="str">
        <f>IF($A42="","",COUNTIFS(LL[Reason for Line Listing],"Case",LL[Role],D$3,LL[Day 0],$A42))</f>
        <v/>
      </c>
      <c r="E42" t="str">
        <f>IF($A42="","",COUNTIFS(LL[Reason for Line Listing],"Case",LL[Role],E$3,LL[Day 0],$A42))</f>
        <v/>
      </c>
      <c r="F42" t="str">
        <f>IF($A42="","",COUNTIFS(LL[Reason for Line Listing],"Case",LL[Role],F$3,LL[Day 0],$A42))</f>
        <v/>
      </c>
      <c r="G42" t="str">
        <f>IF($A42="","",COUNTIFS(LL[Reason for Line Listing],"Case",LL[Role],G$3,LL[Day 0],$A42))</f>
        <v/>
      </c>
      <c r="H42" t="str">
        <f>IF($A42="","",COUNTIFS(LL[Reason for Line Listing],"Case",LL[Role],H$3,LL[Day 0],$A42))</f>
        <v/>
      </c>
      <c r="I42" t="str">
        <f>IF($A42="","",COUNTIFS(LL[Reason for Line Listing],"Case",LL[Role],I$3,LL[Day 0],$A42))</f>
        <v/>
      </c>
      <c r="J42" t="str">
        <f>IF($A42="","",COUNTIFS(LL[Reason for Line Listing],"Case",LL[Role],J$3,LL[Day 0],$A42))</f>
        <v/>
      </c>
      <c r="K42" s="145" t="str">
        <f t="shared" si="1"/>
        <v/>
      </c>
      <c r="M42" s="46" t="s">
        <v>426</v>
      </c>
      <c r="N42" s="46"/>
      <c r="O42" s="46"/>
      <c r="P42" s="52"/>
      <c r="Q42" s="3"/>
    </row>
    <row r="43" spans="1:48" x14ac:dyDescent="0.3">
      <c r="A43" s="106" t="str">
        <f>IF(A42="","",IF(A42=MAX(LL[Day 0]),"",A42+1))</f>
        <v/>
      </c>
      <c r="B43" t="str">
        <f>IF($A43="","",COUNTIFS(LL[Reason for Line Listing],"Case",LL[Role],B$3,LL[Day 0],$A43))</f>
        <v/>
      </c>
      <c r="C43" t="str">
        <f>IF($A43="","",COUNTIFS(LL[Reason for Line Listing],"Case",LL[Role],C$3,LL[Day 0],$A43))</f>
        <v/>
      </c>
      <c r="D43" t="str">
        <f>IF($A43="","",COUNTIFS(LL[Reason for Line Listing],"Case",LL[Role],D$3,LL[Day 0],$A43))</f>
        <v/>
      </c>
      <c r="E43" t="str">
        <f>IF($A43="","",COUNTIFS(LL[Reason for Line Listing],"Case",LL[Role],E$3,LL[Day 0],$A43))</f>
        <v/>
      </c>
      <c r="F43" t="str">
        <f>IF($A43="","",COUNTIFS(LL[Reason for Line Listing],"Case",LL[Role],F$3,LL[Day 0],$A43))</f>
        <v/>
      </c>
      <c r="G43" t="str">
        <f>IF($A43="","",COUNTIFS(LL[Reason for Line Listing],"Case",LL[Role],G$3,LL[Day 0],$A43))</f>
        <v/>
      </c>
      <c r="H43" t="str">
        <f>IF($A43="","",COUNTIFS(LL[Reason for Line Listing],"Case",LL[Role],H$3,LL[Day 0],$A43))</f>
        <v/>
      </c>
      <c r="I43" t="str">
        <f>IF($A43="","",COUNTIFS(LL[Reason for Line Listing],"Case",LL[Role],I$3,LL[Day 0],$A43))</f>
        <v/>
      </c>
      <c r="J43" t="str">
        <f>IF($A43="","",COUNTIFS(LL[Reason for Line Listing],"Case",LL[Role],J$3,LL[Day 0],$A43))</f>
        <v/>
      </c>
      <c r="K43" s="145" t="str">
        <f t="shared" si="1"/>
        <v/>
      </c>
      <c r="M43" s="47" t="s">
        <v>427</v>
      </c>
      <c r="N43" s="48" t="str">
        <f>IF(COUNTIF(LL[Reason for Line Listing],"Case")=0,"No Data",COUNTIF(LL[Reason for Line Listing],"Case")&amp;" (100%)")</f>
        <v>No Data</v>
      </c>
      <c r="O43" s="45"/>
      <c r="P43" s="45"/>
    </row>
    <row r="44" spans="1:48" x14ac:dyDescent="0.3">
      <c r="A44" s="106" t="str">
        <f>IF(A43="","",IF(A43=MAX(LL[Day 0]),"",A43+1))</f>
        <v/>
      </c>
      <c r="B44" t="str">
        <f>IF($A44="","",COUNTIFS(LL[Reason for Line Listing],"Case",LL[Role],B$3,LL[Day 0],$A44))</f>
        <v/>
      </c>
      <c r="C44" t="str">
        <f>IF($A44="","",COUNTIFS(LL[Reason for Line Listing],"Case",LL[Role],C$3,LL[Day 0],$A44))</f>
        <v/>
      </c>
      <c r="D44" t="str">
        <f>IF($A44="","",COUNTIFS(LL[Reason for Line Listing],"Case",LL[Role],D$3,LL[Day 0],$A44))</f>
        <v/>
      </c>
      <c r="E44" t="str">
        <f>IF($A44="","",COUNTIFS(LL[Reason for Line Listing],"Case",LL[Role],E$3,LL[Day 0],$A44))</f>
        <v/>
      </c>
      <c r="F44" t="str">
        <f>IF($A44="","",COUNTIFS(LL[Reason for Line Listing],"Case",LL[Role],F$3,LL[Day 0],$A44))</f>
        <v/>
      </c>
      <c r="G44" t="str">
        <f>IF($A44="","",COUNTIFS(LL[Reason for Line Listing],"Case",LL[Role],G$3,LL[Day 0],$A44))</f>
        <v/>
      </c>
      <c r="H44" t="str">
        <f>IF($A44="","",COUNTIFS(LL[Reason for Line Listing],"Case",LL[Role],H$3,LL[Day 0],$A44))</f>
        <v/>
      </c>
      <c r="I44" t="str">
        <f>IF($A44="","",COUNTIFS(LL[Reason for Line Listing],"Case",LL[Role],I$3,LL[Day 0],$A44))</f>
        <v/>
      </c>
      <c r="J44" t="str">
        <f>IF($A44="","",COUNTIFS(LL[Reason for Line Listing],"Case",LL[Role],J$3,LL[Day 0],$A44))</f>
        <v/>
      </c>
      <c r="K44" s="145" t="str">
        <f t="shared" si="1"/>
        <v/>
      </c>
      <c r="M44" s="49" t="s">
        <v>428</v>
      </c>
      <c r="N44" s="113" t="str">
        <f>IFERROR(COUNTIFS(LL[Reason for Line Listing],"Case",LL[Asymptomatic?],"Y")&amp;" ("&amp;ROUND(COUNTIFS(LL[Reason for Line Listing],"Case",LL[Asymptomatic?],"Y")/COUNTIFS(LL[Reason for Line Listing],"Case")*100,0)&amp;"%)","No Data")</f>
        <v>No Data</v>
      </c>
    </row>
    <row r="45" spans="1:48" x14ac:dyDescent="0.3">
      <c r="A45" s="106" t="str">
        <f>IF(A44="","",IF(A44=MAX(LL[Day 0]),"",A44+1))</f>
        <v/>
      </c>
      <c r="B45" t="str">
        <f>IF($A45="","",COUNTIFS(LL[Reason for Line Listing],"Case",LL[Role],B$3,LL[Day 0],$A45))</f>
        <v/>
      </c>
      <c r="C45" t="str">
        <f>IF($A45="","",COUNTIFS(LL[Reason for Line Listing],"Case",LL[Role],C$3,LL[Day 0],$A45))</f>
        <v/>
      </c>
      <c r="D45" t="str">
        <f>IF($A45="","",COUNTIFS(LL[Reason for Line Listing],"Case",LL[Role],D$3,LL[Day 0],$A45))</f>
        <v/>
      </c>
      <c r="E45" t="str">
        <f>IF($A45="","",COUNTIFS(LL[Reason for Line Listing],"Case",LL[Role],E$3,LL[Day 0],$A45))</f>
        <v/>
      </c>
      <c r="F45" t="str">
        <f>IF($A45="","",COUNTIFS(LL[Reason for Line Listing],"Case",LL[Role],F$3,LL[Day 0],$A45))</f>
        <v/>
      </c>
      <c r="G45" t="str">
        <f>IF($A45="","",COUNTIFS(LL[Reason for Line Listing],"Case",LL[Role],G$3,LL[Day 0],$A45))</f>
        <v/>
      </c>
      <c r="H45" t="str">
        <f>IF($A45="","",COUNTIFS(LL[Reason for Line Listing],"Case",LL[Role],H$3,LL[Day 0],$A45))</f>
        <v/>
      </c>
      <c r="I45" t="str">
        <f>IF($A45="","",COUNTIFS(LL[Reason for Line Listing],"Case",LL[Role],I$3,LL[Day 0],$A45))</f>
        <v/>
      </c>
      <c r="J45" t="str">
        <f>IF($A45="","",COUNTIFS(LL[Reason for Line Listing],"Case",LL[Role],J$3,LL[Day 0],$A45))</f>
        <v/>
      </c>
      <c r="K45" s="145" t="str">
        <f t="shared" si="1"/>
        <v/>
      </c>
      <c r="M45" s="50" t="s">
        <v>429</v>
      </c>
      <c r="N45" s="114" t="str">
        <f>IFERROR($N$2&amp; "("&amp;ROUND($N$2/COUNTIF(LL[Reason for Line Listing],"Case")*100,0)&amp;"%)","No Data")</f>
        <v>No Data</v>
      </c>
    </row>
    <row r="46" spans="1:48" x14ac:dyDescent="0.3">
      <c r="A46" s="106" t="str">
        <f>IF(A45="","",IF(A45=MAX(LL[Day 0]),"",A45+1))</f>
        <v/>
      </c>
      <c r="B46" t="str">
        <f>IF($A46="","",COUNTIFS(LL[Reason for Line Listing],"Case",LL[Role],B$3,LL[Day 0],$A46))</f>
        <v/>
      </c>
      <c r="C46" t="str">
        <f>IF($A46="","",COUNTIFS(LL[Reason for Line Listing],"Case",LL[Role],C$3,LL[Day 0],$A46))</f>
        <v/>
      </c>
      <c r="D46" t="str">
        <f>IF($A46="","",COUNTIFS(LL[Reason for Line Listing],"Case",LL[Role],D$3,LL[Day 0],$A46))</f>
        <v/>
      </c>
      <c r="E46" t="str">
        <f>IF($A46="","",COUNTIFS(LL[Reason for Line Listing],"Case",LL[Role],E$3,LL[Day 0],$A46))</f>
        <v/>
      </c>
      <c r="F46" t="str">
        <f>IF($A46="","",COUNTIFS(LL[Reason for Line Listing],"Case",LL[Role],F$3,LL[Day 0],$A46))</f>
        <v/>
      </c>
      <c r="G46" t="str">
        <f>IF($A46="","",COUNTIFS(LL[Reason for Line Listing],"Case",LL[Role],G$3,LL[Day 0],$A46))</f>
        <v/>
      </c>
      <c r="H46" t="str">
        <f>IF($A46="","",COUNTIFS(LL[Reason for Line Listing],"Case",LL[Role],H$3,LL[Day 0],$A46))</f>
        <v/>
      </c>
      <c r="I46" t="str">
        <f>IF($A46="","",COUNTIFS(LL[Reason for Line Listing],"Case",LL[Role],I$3,LL[Day 0],$A46))</f>
        <v/>
      </c>
      <c r="J46" t="str">
        <f>IF($A46="","",COUNTIFS(LL[Reason for Line Listing],"Case",LL[Role],J$3,LL[Day 0],$A46))</f>
        <v/>
      </c>
      <c r="K46" s="145" t="str">
        <f t="shared" si="1"/>
        <v/>
      </c>
      <c r="M46" s="53" t="str">
        <f t="shared" ref="M46:M62" ca="1" si="16">M24&amp;IF(X24=0,""," ("&amp;X24&amp;")")</f>
        <v>Other Symptoms (List)</v>
      </c>
      <c r="N46" s="115" t="str">
        <f t="shared" ref="N46:N62" ca="1" si="17">IFERROR(U24,"No Data")</f>
        <v>No Data</v>
      </c>
      <c r="O46" s="56" t="str">
        <f ca="1">IFERROR(R24,"No Data")</f>
        <v>No Data</v>
      </c>
    </row>
    <row r="47" spans="1:48" x14ac:dyDescent="0.3">
      <c r="A47" s="106" t="str">
        <f>IF(A46="","",IF(A46=MAX(LL[Day 0]),"",A46+1))</f>
        <v/>
      </c>
      <c r="B47" t="str">
        <f>IF($A47="","",COUNTIFS(LL[Reason for Line Listing],"Case",LL[Role],B$3,LL[Day 0],$A47))</f>
        <v/>
      </c>
      <c r="C47" t="str">
        <f>IF($A47="","",COUNTIFS(LL[Reason for Line Listing],"Case",LL[Role],C$3,LL[Day 0],$A47))</f>
        <v/>
      </c>
      <c r="D47" t="str">
        <f>IF($A47="","",COUNTIFS(LL[Reason for Line Listing],"Case",LL[Role],D$3,LL[Day 0],$A47))</f>
        <v/>
      </c>
      <c r="E47" t="str">
        <f>IF($A47="","",COUNTIFS(LL[Reason for Line Listing],"Case",LL[Role],E$3,LL[Day 0],$A47))</f>
        <v/>
      </c>
      <c r="F47" t="str">
        <f>IF($A47="","",COUNTIFS(LL[Reason for Line Listing],"Case",LL[Role],F$3,LL[Day 0],$A47))</f>
        <v/>
      </c>
      <c r="G47" t="str">
        <f>IF($A47="","",COUNTIFS(LL[Reason for Line Listing],"Case",LL[Role],G$3,LL[Day 0],$A47))</f>
        <v/>
      </c>
      <c r="H47" t="str">
        <f>IF($A47="","",COUNTIFS(LL[Reason for Line Listing],"Case",LL[Role],H$3,LL[Day 0],$A47))</f>
        <v/>
      </c>
      <c r="I47" t="str">
        <f>IF($A47="","",COUNTIFS(LL[Reason for Line Listing],"Case",LL[Role],I$3,LL[Day 0],$A47))</f>
        <v/>
      </c>
      <c r="J47" t="str">
        <f>IF($A47="","",COUNTIFS(LL[Reason for Line Listing],"Case",LL[Role],J$3,LL[Day 0],$A47))</f>
        <v/>
      </c>
      <c r="K47" s="145" t="str">
        <f t="shared" si="1"/>
        <v/>
      </c>
      <c r="M47" s="53" t="str">
        <f t="shared" ca="1" si="16"/>
        <v>Dehydration (G)</v>
      </c>
      <c r="N47" s="115" t="str">
        <f t="shared" ca="1" si="17"/>
        <v>No Data</v>
      </c>
      <c r="O47" s="56" t="str">
        <f t="shared" ref="O47:O62" ca="1" si="18">IFERROR(R25,"No Data")</f>
        <v>No Data</v>
      </c>
    </row>
    <row r="48" spans="1:48" x14ac:dyDescent="0.3">
      <c r="A48" s="106" t="str">
        <f>IF(A47="","",IF(A47=MAX(LL[Day 0]),"",A47+1))</f>
        <v/>
      </c>
      <c r="B48" t="str">
        <f>IF($A48="","",COUNTIFS(LL[Reason for Line Listing],"Case",LL[Role],B$3,LL[Day 0],$A48))</f>
        <v/>
      </c>
      <c r="C48" t="str">
        <f>IF($A48="","",COUNTIFS(LL[Reason for Line Listing],"Case",LL[Role],C$3,LL[Day 0],$A48))</f>
        <v/>
      </c>
      <c r="D48" t="str">
        <f>IF($A48="","",COUNTIFS(LL[Reason for Line Listing],"Case",LL[Role],D$3,LL[Day 0],$A48))</f>
        <v/>
      </c>
      <c r="E48" t="str">
        <f>IF($A48="","",COUNTIFS(LL[Reason for Line Listing],"Case",LL[Role],E$3,LL[Day 0],$A48))</f>
        <v/>
      </c>
      <c r="F48" t="str">
        <f>IF($A48="","",COUNTIFS(LL[Reason for Line Listing],"Case",LL[Role],F$3,LL[Day 0],$A48))</f>
        <v/>
      </c>
      <c r="G48" t="str">
        <f>IF($A48="","",COUNTIFS(LL[Reason for Line Listing],"Case",LL[Role],G$3,LL[Day 0],$A48))</f>
        <v/>
      </c>
      <c r="H48" t="str">
        <f>IF($A48="","",COUNTIFS(LL[Reason for Line Listing],"Case",LL[Role],H$3,LL[Day 0],$A48))</f>
        <v/>
      </c>
      <c r="I48" t="str">
        <f>IF($A48="","",COUNTIFS(LL[Reason for Line Listing],"Case",LL[Role],I$3,LL[Day 0],$A48))</f>
        <v/>
      </c>
      <c r="J48" t="str">
        <f>IF($A48="","",COUNTIFS(LL[Reason for Line Listing],"Case",LL[Role],J$3,LL[Day 0],$A48))</f>
        <v/>
      </c>
      <c r="K48" s="145" t="str">
        <f t="shared" si="1"/>
        <v/>
      </c>
      <c r="M48" s="53" t="str">
        <f t="shared" ca="1" si="16"/>
        <v>Abdominal Pain / Tenderness (G)</v>
      </c>
      <c r="N48" s="115" t="str">
        <f t="shared" ca="1" si="17"/>
        <v>No Data</v>
      </c>
      <c r="O48" s="56" t="str">
        <f t="shared" ca="1" si="18"/>
        <v>No Data</v>
      </c>
    </row>
    <row r="49" spans="1:15" x14ac:dyDescent="0.3">
      <c r="A49" s="106" t="str">
        <f>IF(A48="","",IF(A48=MAX(LL[Day 0]),"",A48+1))</f>
        <v/>
      </c>
      <c r="B49" t="str">
        <f>IF($A49="","",COUNTIFS(LL[Reason for Line Listing],"Case",LL[Role],B$3,LL[Day 0],$A49))</f>
        <v/>
      </c>
      <c r="C49" t="str">
        <f>IF($A49="","",COUNTIFS(LL[Reason for Line Listing],"Case",LL[Role],C$3,LL[Day 0],$A49))</f>
        <v/>
      </c>
      <c r="D49" t="str">
        <f>IF($A49="","",COUNTIFS(LL[Reason for Line Listing],"Case",LL[Role],D$3,LL[Day 0],$A49))</f>
        <v/>
      </c>
      <c r="E49" t="str">
        <f>IF($A49="","",COUNTIFS(LL[Reason for Line Listing],"Case",LL[Role],E$3,LL[Day 0],$A49))</f>
        <v/>
      </c>
      <c r="F49" t="str">
        <f>IF($A49="","",COUNTIFS(LL[Reason for Line Listing],"Case",LL[Role],F$3,LL[Day 0],$A49))</f>
        <v/>
      </c>
      <c r="G49" t="str">
        <f>IF($A49="","",COUNTIFS(LL[Reason for Line Listing],"Case",LL[Role],G$3,LL[Day 0],$A49))</f>
        <v/>
      </c>
      <c r="H49" t="str">
        <f>IF($A49="","",COUNTIFS(LL[Reason for Line Listing],"Case",LL[Role],H$3,LL[Day 0],$A49))</f>
        <v/>
      </c>
      <c r="I49" t="str">
        <f>IF($A49="","",COUNTIFS(LL[Reason for Line Listing],"Case",LL[Role],I$3,LL[Day 0],$A49))</f>
        <v/>
      </c>
      <c r="J49" t="str">
        <f>IF($A49="","",COUNTIFS(LL[Reason for Line Listing],"Case",LL[Role],J$3,LL[Day 0],$A49))</f>
        <v/>
      </c>
      <c r="K49" s="145" t="str">
        <f t="shared" si="1"/>
        <v/>
      </c>
      <c r="M49" s="53" t="str">
        <f t="shared" ca="1" si="16"/>
        <v>Vomiting (G)</v>
      </c>
      <c r="N49" s="115" t="str">
        <f t="shared" ca="1" si="17"/>
        <v>No Data</v>
      </c>
      <c r="O49" s="56" t="str">
        <f t="shared" ca="1" si="18"/>
        <v>No Data</v>
      </c>
    </row>
    <row r="50" spans="1:15" x14ac:dyDescent="0.3">
      <c r="A50" s="106" t="str">
        <f>IF(A49="","",IF(A49=MAX(LL[Day 0]),"",A49+1))</f>
        <v/>
      </c>
      <c r="B50" t="str">
        <f>IF($A50="","",COUNTIFS(LL[Reason for Line Listing],"Case",LL[Role],B$3,LL[Day 0],$A50))</f>
        <v/>
      </c>
      <c r="C50" t="str">
        <f>IF($A50="","",COUNTIFS(LL[Reason for Line Listing],"Case",LL[Role],C$3,LL[Day 0],$A50))</f>
        <v/>
      </c>
      <c r="D50" t="str">
        <f>IF($A50="","",COUNTIFS(LL[Reason for Line Listing],"Case",LL[Role],D$3,LL[Day 0],$A50))</f>
        <v/>
      </c>
      <c r="E50" t="str">
        <f>IF($A50="","",COUNTIFS(LL[Reason for Line Listing],"Case",LL[Role],E$3,LL[Day 0],$A50))</f>
        <v/>
      </c>
      <c r="F50" t="str">
        <f>IF($A50="","",COUNTIFS(LL[Reason for Line Listing],"Case",LL[Role],F$3,LL[Day 0],$A50))</f>
        <v/>
      </c>
      <c r="G50" t="str">
        <f>IF($A50="","",COUNTIFS(LL[Reason for Line Listing],"Case",LL[Role],G$3,LL[Day 0],$A50))</f>
        <v/>
      </c>
      <c r="H50" t="str">
        <f>IF($A50="","",COUNTIFS(LL[Reason for Line Listing],"Case",LL[Role],H$3,LL[Day 0],$A50))</f>
        <v/>
      </c>
      <c r="I50" t="str">
        <f>IF($A50="","",COUNTIFS(LL[Reason for Line Listing],"Case",LL[Role],I$3,LL[Day 0],$A50))</f>
        <v/>
      </c>
      <c r="J50" t="str">
        <f>IF($A50="","",COUNTIFS(LL[Reason for Line Listing],"Case",LL[Role],J$3,LL[Day 0],$A50))</f>
        <v/>
      </c>
      <c r="K50" s="145" t="str">
        <f t="shared" si="1"/>
        <v/>
      </c>
      <c r="M50" s="53" t="str">
        <f t="shared" ca="1" si="16"/>
        <v>Diarrhea (Watery, Bloody, Greasy) (G)</v>
      </c>
      <c r="N50" s="115" t="str">
        <f t="shared" ca="1" si="17"/>
        <v>No Data</v>
      </c>
      <c r="O50" s="56" t="str">
        <f t="shared" ca="1" si="18"/>
        <v>No Data</v>
      </c>
    </row>
    <row r="51" spans="1:15" x14ac:dyDescent="0.3">
      <c r="A51" s="106" t="str">
        <f>IF(A50="","",IF(A50=MAX(LL[Day 0]),"",A50+1))</f>
        <v/>
      </c>
      <c r="B51" t="str">
        <f>IF($A51="","",COUNTIFS(LL[Reason for Line Listing],"Case",LL[Role],B$3,LL[Day 0],$A51))</f>
        <v/>
      </c>
      <c r="C51" t="str">
        <f>IF($A51="","",COUNTIFS(LL[Reason for Line Listing],"Case",LL[Role],C$3,LL[Day 0],$A51))</f>
        <v/>
      </c>
      <c r="D51" t="str">
        <f>IF($A51="","",COUNTIFS(LL[Reason for Line Listing],"Case",LL[Role],D$3,LL[Day 0],$A51))</f>
        <v/>
      </c>
      <c r="E51" t="str">
        <f>IF($A51="","",COUNTIFS(LL[Reason for Line Listing],"Case",LL[Role],E$3,LL[Day 0],$A51))</f>
        <v/>
      </c>
      <c r="F51" t="str">
        <f>IF($A51="","",COUNTIFS(LL[Reason for Line Listing],"Case",LL[Role],F$3,LL[Day 0],$A51))</f>
        <v/>
      </c>
      <c r="G51" t="str">
        <f>IF($A51="","",COUNTIFS(LL[Reason for Line Listing],"Case",LL[Role],G$3,LL[Day 0],$A51))</f>
        <v/>
      </c>
      <c r="H51" t="str">
        <f>IF($A51="","",COUNTIFS(LL[Reason for Line Listing],"Case",LL[Role],H$3,LL[Day 0],$A51))</f>
        <v/>
      </c>
      <c r="I51" t="str">
        <f>IF($A51="","",COUNTIFS(LL[Reason for Line Listing],"Case",LL[Role],I$3,LL[Day 0],$A51))</f>
        <v/>
      </c>
      <c r="J51" t="str">
        <f>IF($A51="","",COUNTIFS(LL[Reason for Line Listing],"Case",LL[Role],J$3,LL[Day 0],$A51))</f>
        <v/>
      </c>
      <c r="K51" s="145" t="str">
        <f t="shared" si="1"/>
        <v/>
      </c>
      <c r="M51" s="53" t="str">
        <f t="shared" ca="1" si="16"/>
        <v>Decrease / Loss of Appetite (S)</v>
      </c>
      <c r="N51" s="115" t="str">
        <f t="shared" ca="1" si="17"/>
        <v>No Data</v>
      </c>
      <c r="O51" s="56" t="str">
        <f t="shared" ca="1" si="18"/>
        <v>No Data</v>
      </c>
    </row>
    <row r="52" spans="1:15" x14ac:dyDescent="0.3">
      <c r="A52" s="106" t="str">
        <f>IF(A51="","",IF(A51=MAX(LL[Day 0]),"",A51+1))</f>
        <v/>
      </c>
      <c r="B52" t="str">
        <f>IF($A52="","",COUNTIFS(LL[Reason for Line Listing],"Case",LL[Role],B$3,LL[Day 0],$A52))</f>
        <v/>
      </c>
      <c r="C52" t="str">
        <f>IF($A52="","",COUNTIFS(LL[Reason for Line Listing],"Case",LL[Role],C$3,LL[Day 0],$A52))</f>
        <v/>
      </c>
      <c r="D52" t="str">
        <f>IF($A52="","",COUNTIFS(LL[Reason for Line Listing],"Case",LL[Role],D$3,LL[Day 0],$A52))</f>
        <v/>
      </c>
      <c r="E52" t="str">
        <f>IF($A52="","",COUNTIFS(LL[Reason for Line Listing],"Case",LL[Role],E$3,LL[Day 0],$A52))</f>
        <v/>
      </c>
      <c r="F52" t="str">
        <f>IF($A52="","",COUNTIFS(LL[Reason for Line Listing],"Case",LL[Role],F$3,LL[Day 0],$A52))</f>
        <v/>
      </c>
      <c r="G52" t="str">
        <f>IF($A52="","",COUNTIFS(LL[Reason for Line Listing],"Case",LL[Role],G$3,LL[Day 0],$A52))</f>
        <v/>
      </c>
      <c r="H52" t="str">
        <f>IF($A52="","",COUNTIFS(LL[Reason for Line Listing],"Case",LL[Role],H$3,LL[Day 0],$A52))</f>
        <v/>
      </c>
      <c r="I52" t="str">
        <f>IF($A52="","",COUNTIFS(LL[Reason for Line Listing],"Case",LL[Role],I$3,LL[Day 0],$A52))</f>
        <v/>
      </c>
      <c r="J52" t="str">
        <f>IF($A52="","",COUNTIFS(LL[Reason for Line Listing],"Case",LL[Role],J$3,LL[Day 0],$A52))</f>
        <v/>
      </c>
      <c r="K52" s="145" t="str">
        <f t="shared" si="1"/>
        <v/>
      </c>
      <c r="M52" s="53" t="str">
        <f t="shared" ca="1" si="16"/>
        <v>Nausea (S)</v>
      </c>
      <c r="N52" s="115" t="str">
        <f t="shared" ca="1" si="17"/>
        <v>No Data</v>
      </c>
      <c r="O52" s="56" t="str">
        <f t="shared" ca="1" si="18"/>
        <v>No Data</v>
      </c>
    </row>
    <row r="53" spans="1:15" x14ac:dyDescent="0.3">
      <c r="A53" s="106" t="str">
        <f>IF(A52="","",IF(A52=MAX(LL[Day 0]),"",A52+1))</f>
        <v/>
      </c>
      <c r="B53" t="str">
        <f>IF($A53="","",COUNTIFS(LL[Reason for Line Listing],"Case",LL[Role],B$3,LL[Day 0],$A53))</f>
        <v/>
      </c>
      <c r="C53" t="str">
        <f>IF($A53="","",COUNTIFS(LL[Reason for Line Listing],"Case",LL[Role],C$3,LL[Day 0],$A53))</f>
        <v/>
      </c>
      <c r="D53" t="str">
        <f>IF($A53="","",COUNTIFS(LL[Reason for Line Listing],"Case",LL[Role],D$3,LL[Day 0],$A53))</f>
        <v/>
      </c>
      <c r="E53" t="str">
        <f>IF($A53="","",COUNTIFS(LL[Reason for Line Listing],"Case",LL[Role],E$3,LL[Day 0],$A53))</f>
        <v/>
      </c>
      <c r="F53" t="str">
        <f>IF($A53="","",COUNTIFS(LL[Reason for Line Listing],"Case",LL[Role],F$3,LL[Day 0],$A53))</f>
        <v/>
      </c>
      <c r="G53" t="str">
        <f>IF($A53="","",COUNTIFS(LL[Reason for Line Listing],"Case",LL[Role],G$3,LL[Day 0],$A53))</f>
        <v/>
      </c>
      <c r="H53" t="str">
        <f>IF($A53="","",COUNTIFS(LL[Reason for Line Listing],"Case",LL[Role],H$3,LL[Day 0],$A53))</f>
        <v/>
      </c>
      <c r="I53" t="str">
        <f>IF($A53="","",COUNTIFS(LL[Reason for Line Listing],"Case",LL[Role],I$3,LL[Day 0],$A53))</f>
        <v/>
      </c>
      <c r="J53" t="str">
        <f>IF($A53="","",COUNTIFS(LL[Reason for Line Listing],"Case",LL[Role],J$3,LL[Day 0],$A53))</f>
        <v/>
      </c>
      <c r="K53" s="145" t="str">
        <f t="shared" si="1"/>
        <v/>
      </c>
      <c r="M53" s="53" t="str">
        <f t="shared" ca="1" si="16"/>
        <v>Myalgia (Sore Muscles) (S)</v>
      </c>
      <c r="N53" s="115" t="str">
        <f t="shared" ca="1" si="17"/>
        <v>No Data</v>
      </c>
      <c r="O53" s="56" t="str">
        <f t="shared" ca="1" si="18"/>
        <v>No Data</v>
      </c>
    </row>
    <row r="54" spans="1:15" x14ac:dyDescent="0.3">
      <c r="A54" s="106" t="str">
        <f>IF(A53="","",IF(A53=MAX(LL[Day 0]),"",A53+1))</f>
        <v/>
      </c>
      <c r="B54" t="str">
        <f>IF($A54="","",COUNTIFS(LL[Reason for Line Listing],"Case",LL[Role],B$3,LL[Day 0],$A54))</f>
        <v/>
      </c>
      <c r="C54" t="str">
        <f>IF($A54="","",COUNTIFS(LL[Reason for Line Listing],"Case",LL[Role],C$3,LL[Day 0],$A54))</f>
        <v/>
      </c>
      <c r="D54" t="str">
        <f>IF($A54="","",COUNTIFS(LL[Reason for Line Listing],"Case",LL[Role],D$3,LL[Day 0],$A54))</f>
        <v/>
      </c>
      <c r="E54" t="str">
        <f>IF($A54="","",COUNTIFS(LL[Reason for Line Listing],"Case",LL[Role],E$3,LL[Day 0],$A54))</f>
        <v/>
      </c>
      <c r="F54" t="str">
        <f>IF($A54="","",COUNTIFS(LL[Reason for Line Listing],"Case",LL[Role],F$3,LL[Day 0],$A54))</f>
        <v/>
      </c>
      <c r="G54" t="str">
        <f>IF($A54="","",COUNTIFS(LL[Reason for Line Listing],"Case",LL[Role],G$3,LL[Day 0],$A54))</f>
        <v/>
      </c>
      <c r="H54" t="str">
        <f>IF($A54="","",COUNTIFS(LL[Reason for Line Listing],"Case",LL[Role],H$3,LL[Day 0],$A54))</f>
        <v/>
      </c>
      <c r="I54" t="str">
        <f>IF($A54="","",COUNTIFS(LL[Reason for Line Listing],"Case",LL[Role],I$3,LL[Day 0],$A54))</f>
        <v/>
      </c>
      <c r="J54" t="str">
        <f>IF($A54="","",COUNTIFS(LL[Reason for Line Listing],"Case",LL[Role],J$3,LL[Day 0],$A54))</f>
        <v/>
      </c>
      <c r="K54" s="145" t="str">
        <f t="shared" si="1"/>
        <v/>
      </c>
      <c r="M54" s="53" t="str">
        <f t="shared" ca="1" si="16"/>
        <v>Malaise (S)</v>
      </c>
      <c r="N54" s="115" t="str">
        <f t="shared" ca="1" si="17"/>
        <v>No Data</v>
      </c>
      <c r="O54" s="56" t="str">
        <f t="shared" ca="1" si="18"/>
        <v>No Data</v>
      </c>
    </row>
    <row r="55" spans="1:15" x14ac:dyDescent="0.3">
      <c r="A55" s="106" t="str">
        <f>IF(A54="","",IF(A54=MAX(LL[Day 0]),"",A54+1))</f>
        <v/>
      </c>
      <c r="B55" t="str">
        <f>IF($A55="","",COUNTIFS(LL[Reason for Line Listing],"Case",LL[Role],B$3,LL[Day 0],$A55))</f>
        <v/>
      </c>
      <c r="C55" t="str">
        <f>IF($A55="","",COUNTIFS(LL[Reason for Line Listing],"Case",LL[Role],C$3,LL[Day 0],$A55))</f>
        <v/>
      </c>
      <c r="D55" t="str">
        <f>IF($A55="","",COUNTIFS(LL[Reason for Line Listing],"Case",LL[Role],D$3,LL[Day 0],$A55))</f>
        <v/>
      </c>
      <c r="E55" t="str">
        <f>IF($A55="","",COUNTIFS(LL[Reason for Line Listing],"Case",LL[Role],E$3,LL[Day 0],$A55))</f>
        <v/>
      </c>
      <c r="F55" t="str">
        <f>IF($A55="","",COUNTIFS(LL[Reason for Line Listing],"Case",LL[Role],F$3,LL[Day 0],$A55))</f>
        <v/>
      </c>
      <c r="G55" t="str">
        <f>IF($A55="","",COUNTIFS(LL[Reason for Line Listing],"Case",LL[Role],G$3,LL[Day 0],$A55))</f>
        <v/>
      </c>
      <c r="H55" t="str">
        <f>IF($A55="","",COUNTIFS(LL[Reason for Line Listing],"Case",LL[Role],H$3,LL[Day 0],$A55))</f>
        <v/>
      </c>
      <c r="I55" t="str">
        <f>IF($A55="","",COUNTIFS(LL[Reason for Line Listing],"Case",LL[Role],I$3,LL[Day 0],$A55))</f>
        <v/>
      </c>
      <c r="J55" t="str">
        <f>IF($A55="","",COUNTIFS(LL[Reason for Line Listing],"Case",LL[Role],J$3,LL[Day 0],$A55))</f>
        <v/>
      </c>
      <c r="K55" s="145" t="str">
        <f t="shared" si="1"/>
        <v/>
      </c>
      <c r="M55" s="53" t="str">
        <f t="shared" ca="1" si="16"/>
        <v>Chills (S)</v>
      </c>
      <c r="N55" s="115" t="str">
        <f t="shared" ca="1" si="17"/>
        <v>No Data</v>
      </c>
      <c r="O55" s="56" t="str">
        <f t="shared" ca="1" si="18"/>
        <v>No Data</v>
      </c>
    </row>
    <row r="56" spans="1:15" x14ac:dyDescent="0.3">
      <c r="A56" s="106" t="str">
        <f>IF(A55="","",IF(A55=MAX(LL[Day 0]),"",A55+1))</f>
        <v/>
      </c>
      <c r="B56" t="str">
        <f>IF($A56="","",COUNTIFS(LL[Reason for Line Listing],"Case",LL[Role],B$3,LL[Day 0],$A56))</f>
        <v/>
      </c>
      <c r="C56" t="str">
        <f>IF($A56="","",COUNTIFS(LL[Reason for Line Listing],"Case",LL[Role],C$3,LL[Day 0],$A56))</f>
        <v/>
      </c>
      <c r="D56" t="str">
        <f>IF($A56="","",COUNTIFS(LL[Reason for Line Listing],"Case",LL[Role],D$3,LL[Day 0],$A56))</f>
        <v/>
      </c>
      <c r="E56" t="str">
        <f>IF($A56="","",COUNTIFS(LL[Reason for Line Listing],"Case",LL[Role],E$3,LL[Day 0],$A56))</f>
        <v/>
      </c>
      <c r="F56" t="str">
        <f>IF($A56="","",COUNTIFS(LL[Reason for Line Listing],"Case",LL[Role],F$3,LL[Day 0],$A56))</f>
        <v/>
      </c>
      <c r="G56" t="str">
        <f>IF($A56="","",COUNTIFS(LL[Reason for Line Listing],"Case",LL[Role],G$3,LL[Day 0],$A56))</f>
        <v/>
      </c>
      <c r="H56" t="str">
        <f>IF($A56="","",COUNTIFS(LL[Reason for Line Listing],"Case",LL[Role],H$3,LL[Day 0],$A56))</f>
        <v/>
      </c>
      <c r="I56" t="str">
        <f>IF($A56="","",COUNTIFS(LL[Reason for Line Listing],"Case",LL[Role],I$3,LL[Day 0],$A56))</f>
        <v/>
      </c>
      <c r="J56" t="str">
        <f>IF($A56="","",COUNTIFS(LL[Reason for Line Listing],"Case",LL[Role],J$3,LL[Day 0],$A56))</f>
        <v/>
      </c>
      <c r="K56" s="145" t="str">
        <f t="shared" si="1"/>
        <v/>
      </c>
      <c r="M56" s="53" t="str">
        <f t="shared" ca="1" si="16"/>
        <v>Headache (S)</v>
      </c>
      <c r="N56" s="115" t="str">
        <f t="shared" ca="1" si="17"/>
        <v>No Data</v>
      </c>
      <c r="O56" s="56" t="str">
        <f t="shared" ca="1" si="18"/>
        <v>No Data</v>
      </c>
    </row>
    <row r="57" spans="1:15" x14ac:dyDescent="0.3">
      <c r="A57" s="106" t="str">
        <f>IF(A56="","",IF(A56=MAX(LL[Day 0]),"",A56+1))</f>
        <v/>
      </c>
      <c r="B57" t="str">
        <f>IF($A57="","",COUNTIFS(LL[Reason for Line Listing],"Case",LL[Role],B$3,LL[Day 0],$A57))</f>
        <v/>
      </c>
      <c r="C57" t="str">
        <f>IF($A57="","",COUNTIFS(LL[Reason for Line Listing],"Case",LL[Role],C$3,LL[Day 0],$A57))</f>
        <v/>
      </c>
      <c r="D57" t="str">
        <f>IF($A57="","",COUNTIFS(LL[Reason for Line Listing],"Case",LL[Role],D$3,LL[Day 0],$A57))</f>
        <v/>
      </c>
      <c r="E57" t="str">
        <f>IF($A57="","",COUNTIFS(LL[Reason for Line Listing],"Case",LL[Role],E$3,LL[Day 0],$A57))</f>
        <v/>
      </c>
      <c r="F57" t="str">
        <f>IF($A57="","",COUNTIFS(LL[Reason for Line Listing],"Case",LL[Role],F$3,LL[Day 0],$A57))</f>
        <v/>
      </c>
      <c r="G57" t="str">
        <f>IF($A57="","",COUNTIFS(LL[Reason for Line Listing],"Case",LL[Role],G$3,LL[Day 0],$A57))</f>
        <v/>
      </c>
      <c r="H57" t="str">
        <f>IF($A57="","",COUNTIFS(LL[Reason for Line Listing],"Case",LL[Role],H$3,LL[Day 0],$A57))</f>
        <v/>
      </c>
      <c r="I57" t="str">
        <f>IF($A57="","",COUNTIFS(LL[Reason for Line Listing],"Case",LL[Role],I$3,LL[Day 0],$A57))</f>
        <v/>
      </c>
      <c r="J57" t="str">
        <f>IF($A57="","",COUNTIFS(LL[Reason for Line Listing],"Case",LL[Role],J$3,LL[Day 0],$A57))</f>
        <v/>
      </c>
      <c r="K57" s="145" t="str">
        <f t="shared" si="1"/>
        <v/>
      </c>
      <c r="M57" s="53" t="str">
        <f t="shared" ca="1" si="16"/>
        <v>Abnormal Temperature / Fever (S)</v>
      </c>
      <c r="N57" s="115" t="str">
        <f t="shared" ca="1" si="17"/>
        <v>No Data</v>
      </c>
      <c r="O57" s="56" t="str">
        <f t="shared" ca="1" si="18"/>
        <v>No Data</v>
      </c>
    </row>
    <row r="58" spans="1:15" x14ac:dyDescent="0.3">
      <c r="A58" s="106" t="str">
        <f>IF(A57="","",IF(A57=MAX(LL[Day 0]),"",A57+1))</f>
        <v/>
      </c>
      <c r="B58" t="str">
        <f>IF($A58="","",COUNTIFS(LL[Reason for Line Listing],"Case",LL[Role],B$3,LL[Day 0],$A58))</f>
        <v/>
      </c>
      <c r="C58" t="str">
        <f>IF($A58="","",COUNTIFS(LL[Reason for Line Listing],"Case",LL[Role],C$3,LL[Day 0],$A58))</f>
        <v/>
      </c>
      <c r="D58" t="str">
        <f>IF($A58="","",COUNTIFS(LL[Reason for Line Listing],"Case",LL[Role],D$3,LL[Day 0],$A58))</f>
        <v/>
      </c>
      <c r="E58" t="str">
        <f>IF($A58="","",COUNTIFS(LL[Reason for Line Listing],"Case",LL[Role],E$3,LL[Day 0],$A58))</f>
        <v/>
      </c>
      <c r="F58" t="str">
        <f>IF($A58="","",COUNTIFS(LL[Reason for Line Listing],"Case",LL[Role],F$3,LL[Day 0],$A58))</f>
        <v/>
      </c>
      <c r="G58" t="str">
        <f>IF($A58="","",COUNTIFS(LL[Reason for Line Listing],"Case",LL[Role],G$3,LL[Day 0],$A58))</f>
        <v/>
      </c>
      <c r="H58" t="str">
        <f>IF($A58="","",COUNTIFS(LL[Reason for Line Listing],"Case",LL[Role],H$3,LL[Day 0],$A58))</f>
        <v/>
      </c>
      <c r="I58" t="str">
        <f>IF($A58="","",COUNTIFS(LL[Reason for Line Listing],"Case",LL[Role],I$3,LL[Day 0],$A58))</f>
        <v/>
      </c>
      <c r="J58" t="str">
        <f>IF($A58="","",COUNTIFS(LL[Reason for Line Listing],"Case",LL[Role],J$3,LL[Day 0],$A58))</f>
        <v/>
      </c>
      <c r="K58" s="145" t="str">
        <f t="shared" si="1"/>
        <v/>
      </c>
      <c r="M58" s="53" t="str">
        <f t="shared" ca="1" si="16"/>
        <v>Decrease / Loss of Smell or Taste (R)</v>
      </c>
      <c r="N58" s="115" t="str">
        <f t="shared" ca="1" si="17"/>
        <v>No Data</v>
      </c>
      <c r="O58" s="56" t="str">
        <f t="shared" ca="1" si="18"/>
        <v>No Data</v>
      </c>
    </row>
    <row r="59" spans="1:15" x14ac:dyDescent="0.3">
      <c r="A59" s="106" t="str">
        <f>IF(A58="","",IF(A58=MAX(LL[Day 0]),"",A58+1))</f>
        <v/>
      </c>
      <c r="B59" t="str">
        <f>IF($A59="","",COUNTIFS(LL[Reason for Line Listing],"Case",LL[Role],B$3,LL[Day 0],$A59))</f>
        <v/>
      </c>
      <c r="C59" t="str">
        <f>IF($A59="","",COUNTIFS(LL[Reason for Line Listing],"Case",LL[Role],C$3,LL[Day 0],$A59))</f>
        <v/>
      </c>
      <c r="D59" t="str">
        <f>IF($A59="","",COUNTIFS(LL[Reason for Line Listing],"Case",LL[Role],D$3,LL[Day 0],$A59))</f>
        <v/>
      </c>
      <c r="E59" t="str">
        <f>IF($A59="","",COUNTIFS(LL[Reason for Line Listing],"Case",LL[Role],E$3,LL[Day 0],$A59))</f>
        <v/>
      </c>
      <c r="F59" t="str">
        <f>IF($A59="","",COUNTIFS(LL[Reason for Line Listing],"Case",LL[Role],F$3,LL[Day 0],$A59))</f>
        <v/>
      </c>
      <c r="G59" t="str">
        <f>IF($A59="","",COUNTIFS(LL[Reason for Line Listing],"Case",LL[Role],G$3,LL[Day 0],$A59))</f>
        <v/>
      </c>
      <c r="H59" t="str">
        <f>IF($A59="","",COUNTIFS(LL[Reason for Line Listing],"Case",LL[Role],H$3,LL[Day 0],$A59))</f>
        <v/>
      </c>
      <c r="I59" t="str">
        <f>IF($A59="","",COUNTIFS(LL[Reason for Line Listing],"Case",LL[Role],I$3,LL[Day 0],$A59))</f>
        <v/>
      </c>
      <c r="J59" t="str">
        <f>IF($A59="","",COUNTIFS(LL[Reason for Line Listing],"Case",LL[Role],J$3,LL[Day 0],$A59))</f>
        <v/>
      </c>
      <c r="K59" s="145" t="str">
        <f t="shared" si="1"/>
        <v/>
      </c>
      <c r="M59" s="53" t="str">
        <f t="shared" ca="1" si="16"/>
        <v>Runny Nose / Sneezing (R)</v>
      </c>
      <c r="N59" s="115" t="str">
        <f t="shared" ca="1" si="17"/>
        <v>No Data</v>
      </c>
      <c r="O59" s="56" t="str">
        <f t="shared" ca="1" si="18"/>
        <v>No Data</v>
      </c>
    </row>
    <row r="60" spans="1:15" x14ac:dyDescent="0.3">
      <c r="A60" s="106" t="str">
        <f>IF(A59="","",IF(A59=MAX(LL[Day 0]),"",A59+1))</f>
        <v/>
      </c>
      <c r="B60" t="str">
        <f>IF($A60="","",COUNTIFS(LL[Reason for Line Listing],"Case",LL[Role],B$3,LL[Day 0],$A60))</f>
        <v/>
      </c>
      <c r="C60" t="str">
        <f>IF($A60="","",COUNTIFS(LL[Reason for Line Listing],"Case",LL[Role],C$3,LL[Day 0],$A60))</f>
        <v/>
      </c>
      <c r="D60" t="str">
        <f>IF($A60="","",COUNTIFS(LL[Reason for Line Listing],"Case",LL[Role],D$3,LL[Day 0],$A60))</f>
        <v/>
      </c>
      <c r="E60" t="str">
        <f>IF($A60="","",COUNTIFS(LL[Reason for Line Listing],"Case",LL[Role],E$3,LL[Day 0],$A60))</f>
        <v/>
      </c>
      <c r="F60" t="str">
        <f>IF($A60="","",COUNTIFS(LL[Reason for Line Listing],"Case",LL[Role],F$3,LL[Day 0],$A60))</f>
        <v/>
      </c>
      <c r="G60" t="str">
        <f>IF($A60="","",COUNTIFS(LL[Reason for Line Listing],"Case",LL[Role],G$3,LL[Day 0],$A60))</f>
        <v/>
      </c>
      <c r="H60" t="str">
        <f>IF($A60="","",COUNTIFS(LL[Reason for Line Listing],"Case",LL[Role],H$3,LL[Day 0],$A60))</f>
        <v/>
      </c>
      <c r="I60" t="str">
        <f>IF($A60="","",COUNTIFS(LL[Reason for Line Listing],"Case",LL[Role],I$3,LL[Day 0],$A60))</f>
        <v/>
      </c>
      <c r="J60" t="str">
        <f>IF($A60="","",COUNTIFS(LL[Reason for Line Listing],"Case",LL[Role],J$3,LL[Day 0],$A60))</f>
        <v/>
      </c>
      <c r="K60" s="145" t="str">
        <f t="shared" si="1"/>
        <v/>
      </c>
      <c r="M60" s="53" t="str">
        <f t="shared" ca="1" si="16"/>
        <v>Nasal Congestion (Stuffy Nose) (R)</v>
      </c>
      <c r="N60" s="115" t="str">
        <f t="shared" ca="1" si="17"/>
        <v>No Data</v>
      </c>
      <c r="O60" s="56" t="str">
        <f t="shared" ca="1" si="18"/>
        <v>No Data</v>
      </c>
    </row>
    <row r="61" spans="1:15" x14ac:dyDescent="0.3">
      <c r="A61" s="106" t="str">
        <f>IF(A60="","",IF(A60=MAX(LL[Day 0]),"",A60+1))</f>
        <v/>
      </c>
      <c r="B61" t="str">
        <f>IF($A61="","",COUNTIFS(LL[Reason for Line Listing],"Case",LL[Role],B$3,LL[Day 0],$A61))</f>
        <v/>
      </c>
      <c r="C61" t="str">
        <f>IF($A61="","",COUNTIFS(LL[Reason for Line Listing],"Case",LL[Role],C$3,LL[Day 0],$A61))</f>
        <v/>
      </c>
      <c r="D61" t="str">
        <f>IF($A61="","",COUNTIFS(LL[Reason for Line Listing],"Case",LL[Role],D$3,LL[Day 0],$A61))</f>
        <v/>
      </c>
      <c r="E61" t="str">
        <f>IF($A61="","",COUNTIFS(LL[Reason for Line Listing],"Case",LL[Role],E$3,LL[Day 0],$A61))</f>
        <v/>
      </c>
      <c r="F61" t="str">
        <f>IF($A61="","",COUNTIFS(LL[Reason for Line Listing],"Case",LL[Role],F$3,LL[Day 0],$A61))</f>
        <v/>
      </c>
      <c r="G61" t="str">
        <f>IF($A61="","",COUNTIFS(LL[Reason for Line Listing],"Case",LL[Role],G$3,LL[Day 0],$A61))</f>
        <v/>
      </c>
      <c r="H61" t="str">
        <f>IF($A61="","",COUNTIFS(LL[Reason for Line Listing],"Case",LL[Role],H$3,LL[Day 0],$A61))</f>
        <v/>
      </c>
      <c r="I61" t="str">
        <f>IF($A61="","",COUNTIFS(LL[Reason for Line Listing],"Case",LL[Role],I$3,LL[Day 0],$A61))</f>
        <v/>
      </c>
      <c r="J61" t="str">
        <f>IF($A61="","",COUNTIFS(LL[Reason for Line Listing],"Case",LL[Role],J$3,LL[Day 0],$A61))</f>
        <v/>
      </c>
      <c r="K61" s="145" t="str">
        <f t="shared" si="1"/>
        <v/>
      </c>
      <c r="M61" s="53" t="str">
        <f t="shared" ca="1" si="16"/>
        <v>Cough (Dry, Productive, Worsening) (R)</v>
      </c>
      <c r="N61" s="115" t="str">
        <f t="shared" ca="1" si="17"/>
        <v>No Data</v>
      </c>
      <c r="O61" s="56" t="str">
        <f t="shared" ca="1" si="18"/>
        <v>No Data</v>
      </c>
    </row>
    <row r="62" spans="1:15" x14ac:dyDescent="0.3">
      <c r="A62" s="106" t="str">
        <f>IF(A61="","",IF(A61=MAX(LL[Day 0]),"",A61+1))</f>
        <v/>
      </c>
      <c r="B62" t="str">
        <f>IF($A62="","",COUNTIFS(LL[Reason for Line Listing],"Case",LL[Role],B$3,LL[Day 0],$A62))</f>
        <v/>
      </c>
      <c r="C62" t="str">
        <f>IF($A62="","",COUNTIFS(LL[Reason for Line Listing],"Case",LL[Role],C$3,LL[Day 0],$A62))</f>
        <v/>
      </c>
      <c r="D62" t="str">
        <f>IF($A62="","",COUNTIFS(LL[Reason for Line Listing],"Case",LL[Role],D$3,LL[Day 0],$A62))</f>
        <v/>
      </c>
      <c r="E62" t="str">
        <f>IF($A62="","",COUNTIFS(LL[Reason for Line Listing],"Case",LL[Role],E$3,LL[Day 0],$A62))</f>
        <v/>
      </c>
      <c r="F62" t="str">
        <f>IF($A62="","",COUNTIFS(LL[Reason for Line Listing],"Case",LL[Role],F$3,LL[Day 0],$A62))</f>
        <v/>
      </c>
      <c r="G62" t="str">
        <f>IF($A62="","",COUNTIFS(LL[Reason for Line Listing],"Case",LL[Role],G$3,LL[Day 0],$A62))</f>
        <v/>
      </c>
      <c r="H62" t="str">
        <f>IF($A62="","",COUNTIFS(LL[Reason for Line Listing],"Case",LL[Role],H$3,LL[Day 0],$A62))</f>
        <v/>
      </c>
      <c r="I62" t="str">
        <f>IF($A62="","",COUNTIFS(LL[Reason for Line Listing],"Case",LL[Role],I$3,LL[Day 0],$A62))</f>
        <v/>
      </c>
      <c r="J62" t="str">
        <f>IF($A62="","",COUNTIFS(LL[Reason for Line Listing],"Case",LL[Role],J$3,LL[Day 0],$A62))</f>
        <v/>
      </c>
      <c r="K62" s="145" t="str">
        <f t="shared" si="1"/>
        <v/>
      </c>
      <c r="M62" s="53" t="str">
        <f t="shared" ca="1" si="16"/>
        <v>Sore Throat / Hoarseness (Specify) (R)</v>
      </c>
      <c r="N62" s="115" t="str">
        <f t="shared" ca="1" si="17"/>
        <v>No Data</v>
      </c>
      <c r="O62" s="56" t="str">
        <f t="shared" ca="1" si="18"/>
        <v>No Data</v>
      </c>
    </row>
    <row r="63" spans="1:15" ht="4.5" customHeight="1" x14ac:dyDescent="0.3">
      <c r="A63" s="106" t="str">
        <f>IF(A62="","",IF(A62=MAX(LL[Day 0]),"",A62+1))</f>
        <v/>
      </c>
      <c r="B63" t="str">
        <f>IF($A63="","",COUNTIFS(LL[Reason for Line Listing],"Case",LL[Role],B$3,LL[Day 0],$A63))</f>
        <v/>
      </c>
      <c r="C63" t="str">
        <f>IF($A63="","",COUNTIFS(LL[Reason for Line Listing],"Case",LL[Role],C$3,LL[Day 0],$A63))</f>
        <v/>
      </c>
      <c r="D63" t="str">
        <f>IF($A63="","",COUNTIFS(LL[Reason for Line Listing],"Case",LL[Role],D$3,LL[Day 0],$A63))</f>
        <v/>
      </c>
      <c r="E63" t="str">
        <f>IF($A63="","",COUNTIFS(LL[Reason for Line Listing],"Case",LL[Role],E$3,LL[Day 0],$A63))</f>
        <v/>
      </c>
      <c r="F63" t="str">
        <f>IF($A63="","",COUNTIFS(LL[Reason for Line Listing],"Case",LL[Role],F$3,LL[Day 0],$A63))</f>
        <v/>
      </c>
      <c r="G63" t="str">
        <f>IF($A63="","",COUNTIFS(LL[Reason for Line Listing],"Case",LL[Role],G$3,LL[Day 0],$A63))</f>
        <v/>
      </c>
      <c r="H63" t="str">
        <f>IF($A63="","",COUNTIFS(LL[Reason for Line Listing],"Case",LL[Role],H$3,LL[Day 0],$A63))</f>
        <v/>
      </c>
      <c r="I63" t="str">
        <f>IF($A63="","",COUNTIFS(LL[Reason for Line Listing],"Case",LL[Role],I$3,LL[Day 0],$A63))</f>
        <v/>
      </c>
      <c r="J63" t="str">
        <f>IF($A63="","",COUNTIFS(LL[Reason for Line Listing],"Case",LL[Role],J$3,LL[Day 0],$A63))</f>
        <v/>
      </c>
      <c r="K63" s="145" t="str">
        <f t="shared" si="1"/>
        <v/>
      </c>
      <c r="M63" s="53"/>
      <c r="N63" s="51"/>
      <c r="O63" s="55"/>
    </row>
    <row r="64" spans="1:15" x14ac:dyDescent="0.3">
      <c r="A64" s="106" t="str">
        <f>IF(A63="","",IF(A63=MAX(LL[Day 0]),"",A63+1))</f>
        <v/>
      </c>
      <c r="B64" t="str">
        <f>IF($A64="","",COUNTIFS(LL[Reason for Line Listing],"Case",LL[Role],B$3,LL[Day 0],$A64))</f>
        <v/>
      </c>
      <c r="C64" t="str">
        <f>IF($A64="","",COUNTIFS(LL[Reason for Line Listing],"Case",LL[Role],C$3,LL[Day 0],$A64))</f>
        <v/>
      </c>
      <c r="D64" t="str">
        <f>IF($A64="","",COUNTIFS(LL[Reason for Line Listing],"Case",LL[Role],D$3,LL[Day 0],$A64))</f>
        <v/>
      </c>
      <c r="E64" t="str">
        <f>IF($A64="","",COUNTIFS(LL[Reason for Line Listing],"Case",LL[Role],E$3,LL[Day 0],$A64))</f>
        <v/>
      </c>
      <c r="F64" t="str">
        <f>IF($A64="","",COUNTIFS(LL[Reason for Line Listing],"Case",LL[Role],F$3,LL[Day 0],$A64))</f>
        <v/>
      </c>
      <c r="G64" t="str">
        <f>IF($A64="","",COUNTIFS(LL[Reason for Line Listing],"Case",LL[Role],G$3,LL[Day 0],$A64))</f>
        <v/>
      </c>
      <c r="H64" t="str">
        <f>IF($A64="","",COUNTIFS(LL[Reason for Line Listing],"Case",LL[Role],H$3,LL[Day 0],$A64))</f>
        <v/>
      </c>
      <c r="I64" t="str">
        <f>IF($A64="","",COUNTIFS(LL[Reason for Line Listing],"Case",LL[Role],I$3,LL[Day 0],$A64))</f>
        <v/>
      </c>
      <c r="J64" t="str">
        <f>IF($A64="","",COUNTIFS(LL[Reason for Line Listing],"Case",LL[Role],J$3,LL[Day 0],$A64))</f>
        <v/>
      </c>
      <c r="K64" s="145" t="str">
        <f t="shared" si="1"/>
        <v/>
      </c>
      <c r="O64" s="51" t="s">
        <v>501</v>
      </c>
    </row>
    <row r="65" spans="1:15" x14ac:dyDescent="0.3">
      <c r="A65" s="106" t="str">
        <f>IF(A64="","",IF(A64=MAX(LL[Day 0]),"",A64+1))</f>
        <v/>
      </c>
      <c r="B65" t="str">
        <f>IF($A65="","",COUNTIFS(LL[Reason for Line Listing],"Case",LL[Role],B$3,LL[Day 0],$A65))</f>
        <v/>
      </c>
      <c r="C65" t="str">
        <f>IF($A65="","",COUNTIFS(LL[Reason for Line Listing],"Case",LL[Role],C$3,LL[Day 0],$A65))</f>
        <v/>
      </c>
      <c r="D65" t="str">
        <f>IF($A65="","",COUNTIFS(LL[Reason for Line Listing],"Case",LL[Role],D$3,LL[Day 0],$A65))</f>
        <v/>
      </c>
      <c r="E65" t="str">
        <f>IF($A65="","",COUNTIFS(LL[Reason for Line Listing],"Case",LL[Role],E$3,LL[Day 0],$A65))</f>
        <v/>
      </c>
      <c r="F65" t="str">
        <f>IF($A65="","",COUNTIFS(LL[Reason for Line Listing],"Case",LL[Role],F$3,LL[Day 0],$A65))</f>
        <v/>
      </c>
      <c r="G65" t="str">
        <f>IF($A65="","",COUNTIFS(LL[Reason for Line Listing],"Case",LL[Role],G$3,LL[Day 0],$A65))</f>
        <v/>
      </c>
      <c r="H65" t="str">
        <f>IF($A65="","",COUNTIFS(LL[Reason for Line Listing],"Case",LL[Role],H$3,LL[Day 0],$A65))</f>
        <v/>
      </c>
      <c r="I65" t="str">
        <f>IF($A65="","",COUNTIFS(LL[Reason for Line Listing],"Case",LL[Role],I$3,LL[Day 0],$A65))</f>
        <v/>
      </c>
      <c r="J65" t="str">
        <f>IF($A65="","",COUNTIFS(LL[Reason for Line Listing],"Case",LL[Role],J$3,LL[Day 0],$A65))</f>
        <v/>
      </c>
      <c r="K65" s="145" t="str">
        <f t="shared" si="1"/>
        <v/>
      </c>
      <c r="M65" s="54" t="s">
        <v>430</v>
      </c>
      <c r="N65" s="54"/>
      <c r="O65" s="54"/>
    </row>
    <row r="66" spans="1:15" x14ac:dyDescent="0.3">
      <c r="A66" s="106" t="str">
        <f>IF(A65="","",IF(A65=MAX(LL[Day 0]),"",A65+1))</f>
        <v/>
      </c>
      <c r="B66" t="str">
        <f>IF($A66="","",COUNTIFS(LL[Reason for Line Listing],"Case",LL[Role],B$3,LL[Day 0],$A66))</f>
        <v/>
      </c>
      <c r="C66" t="str">
        <f>IF($A66="","",COUNTIFS(LL[Reason for Line Listing],"Case",LL[Role],C$3,LL[Day 0],$A66))</f>
        <v/>
      </c>
      <c r="D66" t="str">
        <f>IF($A66="","",COUNTIFS(LL[Reason for Line Listing],"Case",LL[Role],D$3,LL[Day 0],$A66))</f>
        <v/>
      </c>
      <c r="E66" t="str">
        <f>IF($A66="","",COUNTIFS(LL[Reason for Line Listing],"Case",LL[Role],E$3,LL[Day 0],$A66))</f>
        <v/>
      </c>
      <c r="F66" t="str">
        <f>IF($A66="","",COUNTIFS(LL[Reason for Line Listing],"Case",LL[Role],F$3,LL[Day 0],$A66))</f>
        <v/>
      </c>
      <c r="G66" t="str">
        <f>IF($A66="","",COUNTIFS(LL[Reason for Line Listing],"Case",LL[Role],G$3,LL[Day 0],$A66))</f>
        <v/>
      </c>
      <c r="H66" t="str">
        <f>IF($A66="","",COUNTIFS(LL[Reason for Line Listing],"Case",LL[Role],H$3,LL[Day 0],$A66))</f>
        <v/>
      </c>
      <c r="I66" t="str">
        <f>IF($A66="","",COUNTIFS(LL[Reason for Line Listing],"Case",LL[Role],I$3,LL[Day 0],$A66))</f>
        <v/>
      </c>
      <c r="J66" t="str">
        <f>IF($A66="","",COUNTIFS(LL[Reason for Line Listing],"Case",LL[Role],J$3,LL[Day 0],$A66))</f>
        <v/>
      </c>
      <c r="K66" s="145" t="str">
        <f t="shared" si="1"/>
        <v/>
      </c>
    </row>
    <row r="67" spans="1:15" x14ac:dyDescent="0.3">
      <c r="A67" s="106" t="str">
        <f>IF(A66="","",IF(A66=MAX(LL[Day 0]),"",A66+1))</f>
        <v/>
      </c>
      <c r="B67" t="str">
        <f>IF($A67="","",COUNTIFS(LL[Reason for Line Listing],"Case",LL[Role],B$3,LL[Day 0],$A67))</f>
        <v/>
      </c>
      <c r="C67" t="str">
        <f>IF($A67="","",COUNTIFS(LL[Reason for Line Listing],"Case",LL[Role],C$3,LL[Day 0],$A67))</f>
        <v/>
      </c>
      <c r="D67" t="str">
        <f>IF($A67="","",COUNTIFS(LL[Reason for Line Listing],"Case",LL[Role],D$3,LL[Day 0],$A67))</f>
        <v/>
      </c>
      <c r="E67" t="str">
        <f>IF($A67="","",COUNTIFS(LL[Reason for Line Listing],"Case",LL[Role],E$3,LL[Day 0],$A67))</f>
        <v/>
      </c>
      <c r="F67" t="str">
        <f>IF($A67="","",COUNTIFS(LL[Reason for Line Listing],"Case",LL[Role],F$3,LL[Day 0],$A67))</f>
        <v/>
      </c>
      <c r="G67" t="str">
        <f>IF($A67="","",COUNTIFS(LL[Reason for Line Listing],"Case",LL[Role],G$3,LL[Day 0],$A67))</f>
        <v/>
      </c>
      <c r="H67" t="str">
        <f>IF($A67="","",COUNTIFS(LL[Reason for Line Listing],"Case",LL[Role],H$3,LL[Day 0],$A67))</f>
        <v/>
      </c>
      <c r="I67" t="str">
        <f>IF($A67="","",COUNTIFS(LL[Reason for Line Listing],"Case",LL[Role],I$3,LL[Day 0],$A67))</f>
        <v/>
      </c>
      <c r="J67" t="str">
        <f>IF($A67="","",COUNTIFS(LL[Reason for Line Listing],"Case",LL[Role],J$3,LL[Day 0],$A67))</f>
        <v/>
      </c>
      <c r="K67" s="145" t="str">
        <f t="shared" si="1"/>
        <v/>
      </c>
      <c r="O67" s="102"/>
    </row>
    <row r="68" spans="1:15" x14ac:dyDescent="0.3">
      <c r="A68" s="106" t="str">
        <f>IF(A67="","",IF(A67=MAX(LL[Day 0]),"",A67+1))</f>
        <v/>
      </c>
      <c r="B68" t="str">
        <f>IF($A68="","",COUNTIFS(LL[Reason for Line Listing],"Case",LL[Role],B$3,LL[Day 0],$A68))</f>
        <v/>
      </c>
      <c r="C68" t="str">
        <f>IF($A68="","",COUNTIFS(LL[Reason for Line Listing],"Case",LL[Role],C$3,LL[Day 0],$A68))</f>
        <v/>
      </c>
      <c r="D68" t="str">
        <f>IF($A68="","",COUNTIFS(LL[Reason for Line Listing],"Case",LL[Role],D$3,LL[Day 0],$A68))</f>
        <v/>
      </c>
      <c r="E68" t="str">
        <f>IF($A68="","",COUNTIFS(LL[Reason for Line Listing],"Case",LL[Role],E$3,LL[Day 0],$A68))</f>
        <v/>
      </c>
      <c r="F68" t="str">
        <f>IF($A68="","",COUNTIFS(LL[Reason for Line Listing],"Case",LL[Role],F$3,LL[Day 0],$A68))</f>
        <v/>
      </c>
      <c r="G68" t="str">
        <f>IF($A68="","",COUNTIFS(LL[Reason for Line Listing],"Case",LL[Role],G$3,LL[Day 0],$A68))</f>
        <v/>
      </c>
      <c r="H68" t="str">
        <f>IF($A68="","",COUNTIFS(LL[Reason for Line Listing],"Case",LL[Role],H$3,LL[Day 0],$A68))</f>
        <v/>
      </c>
      <c r="I68" t="str">
        <f>IF($A68="","",COUNTIFS(LL[Reason for Line Listing],"Case",LL[Role],I$3,LL[Day 0],$A68))</f>
        <v/>
      </c>
      <c r="J68" t="str">
        <f>IF($A68="","",COUNTIFS(LL[Reason for Line Listing],"Case",LL[Role],J$3,LL[Day 0],$A68))</f>
        <v/>
      </c>
      <c r="K68" s="145" t="str">
        <f t="shared" si="1"/>
        <v/>
      </c>
    </row>
    <row r="69" spans="1:15" x14ac:dyDescent="0.3">
      <c r="A69" s="106" t="str">
        <f>IF(A68="","",IF(A68=MAX(LL[Day 0]),"",A68+1))</f>
        <v/>
      </c>
      <c r="B69" t="str">
        <f>IF($A69="","",COUNTIFS(LL[Reason for Line Listing],"Case",LL[Role],B$3,LL[Day 0],$A69))</f>
        <v/>
      </c>
      <c r="C69" t="str">
        <f>IF($A69="","",COUNTIFS(LL[Reason for Line Listing],"Case",LL[Role],C$3,LL[Day 0],$A69))</f>
        <v/>
      </c>
      <c r="D69" t="str">
        <f>IF($A69="","",COUNTIFS(LL[Reason for Line Listing],"Case",LL[Role],D$3,LL[Day 0],$A69))</f>
        <v/>
      </c>
      <c r="E69" t="str">
        <f>IF($A69="","",COUNTIFS(LL[Reason for Line Listing],"Case",LL[Role],E$3,LL[Day 0],$A69))</f>
        <v/>
      </c>
      <c r="F69" t="str">
        <f>IF($A69="","",COUNTIFS(LL[Reason for Line Listing],"Case",LL[Role],F$3,LL[Day 0],$A69))</f>
        <v/>
      </c>
      <c r="G69" t="str">
        <f>IF($A69="","",COUNTIFS(LL[Reason for Line Listing],"Case",LL[Role],G$3,LL[Day 0],$A69))</f>
        <v/>
      </c>
      <c r="H69" t="str">
        <f>IF($A69="","",COUNTIFS(LL[Reason for Line Listing],"Case",LL[Role],H$3,LL[Day 0],$A69))</f>
        <v/>
      </c>
      <c r="I69" t="str">
        <f>IF($A69="","",COUNTIFS(LL[Reason for Line Listing],"Case",LL[Role],I$3,LL[Day 0],$A69))</f>
        <v/>
      </c>
      <c r="J69" t="str">
        <f>IF($A69="","",COUNTIFS(LL[Reason for Line Listing],"Case",LL[Role],J$3,LL[Day 0],$A69))</f>
        <v/>
      </c>
      <c r="K69" s="145" t="str">
        <f t="shared" ref="K69:K106" si="19">IF(SUM(B69:J69)=0,"","On "&amp;TEXT(A69,"mmmm d ")&amp;" there "&amp;IF(SUM(B69:J69)=1,"was 1 case. ","were "&amp;SUM(B69:J69)&amp;" cases. ")&amp;IF(B69=0,"",B69&amp;" among "&amp;B$3&amp;"s, ")&amp;IF(C69=0,"",C69&amp;" among "&amp;C$3&amp;"s, ")&amp;IF(D69=0,"",D69&amp;" among "&amp;D$3&amp;"s, ")&amp;IF(E69=0,"",E69&amp;" among "&amp;E$3&amp;"s, ")&amp;IF(F69=0,"",F69&amp;" among "&amp;F$3&amp;", ")&amp;IF(G69=0,"",G69&amp;" among "&amp;G$3&amp;"s, ")&amp;IF(H69=0,"",H69&amp;" among "&amp;H$3&amp;"s, ")&amp;IF(I69=0,"",I69&amp;" among "&amp;I$3&amp;"s, ")&amp;IF(J69=0,"",J69&amp;" among "&amp;J$3&amp;"s. "))</f>
        <v/>
      </c>
    </row>
    <row r="70" spans="1:15" x14ac:dyDescent="0.3">
      <c r="A70" s="106" t="str">
        <f>IF(A69="","",IF(A69=MAX(LL[Day 0]),"",A69+1))</f>
        <v/>
      </c>
      <c r="B70" t="str">
        <f>IF($A70="","",COUNTIFS(LL[Reason for Line Listing],"Case",LL[Role],B$3,LL[Day 0],$A70))</f>
        <v/>
      </c>
      <c r="C70" t="str">
        <f>IF($A70="","",COUNTIFS(LL[Reason for Line Listing],"Case",LL[Role],C$3,LL[Day 0],$A70))</f>
        <v/>
      </c>
      <c r="D70" t="str">
        <f>IF($A70="","",COUNTIFS(LL[Reason for Line Listing],"Case",LL[Role],D$3,LL[Day 0],$A70))</f>
        <v/>
      </c>
      <c r="E70" t="str">
        <f>IF($A70="","",COUNTIFS(LL[Reason for Line Listing],"Case",LL[Role],E$3,LL[Day 0],$A70))</f>
        <v/>
      </c>
      <c r="F70" t="str">
        <f>IF($A70="","",COUNTIFS(LL[Reason for Line Listing],"Case",LL[Role],F$3,LL[Day 0],$A70))</f>
        <v/>
      </c>
      <c r="G70" t="str">
        <f>IF($A70="","",COUNTIFS(LL[Reason for Line Listing],"Case",LL[Role],G$3,LL[Day 0],$A70))</f>
        <v/>
      </c>
      <c r="H70" t="str">
        <f>IF($A70="","",COUNTIFS(LL[Reason for Line Listing],"Case",LL[Role],H$3,LL[Day 0],$A70))</f>
        <v/>
      </c>
      <c r="I70" t="str">
        <f>IF($A70="","",COUNTIFS(LL[Reason for Line Listing],"Case",LL[Role],I$3,LL[Day 0],$A70))</f>
        <v/>
      </c>
      <c r="J70" t="str">
        <f>IF($A70="","",COUNTIFS(LL[Reason for Line Listing],"Case",LL[Role],J$3,LL[Day 0],$A70))</f>
        <v/>
      </c>
      <c r="K70" s="145" t="str">
        <f t="shared" si="19"/>
        <v/>
      </c>
    </row>
    <row r="71" spans="1:15" x14ac:dyDescent="0.3">
      <c r="A71" s="106" t="str">
        <f>IF(A70="","",IF(A70=MAX(LL[Day 0]),"",A70+1))</f>
        <v/>
      </c>
      <c r="B71" t="str">
        <f>IF($A71="","",COUNTIFS(LL[Reason for Line Listing],"Case",LL[Role],B$3,LL[Day 0],$A71))</f>
        <v/>
      </c>
      <c r="C71" t="str">
        <f>IF($A71="","",COUNTIFS(LL[Reason for Line Listing],"Case",LL[Role],C$3,LL[Day 0],$A71))</f>
        <v/>
      </c>
      <c r="D71" t="str">
        <f>IF($A71="","",COUNTIFS(LL[Reason for Line Listing],"Case",LL[Role],D$3,LL[Day 0],$A71))</f>
        <v/>
      </c>
      <c r="E71" t="str">
        <f>IF($A71="","",COUNTIFS(LL[Reason for Line Listing],"Case",LL[Role],E$3,LL[Day 0],$A71))</f>
        <v/>
      </c>
      <c r="F71" t="str">
        <f>IF($A71="","",COUNTIFS(LL[Reason for Line Listing],"Case",LL[Role],F$3,LL[Day 0],$A71))</f>
        <v/>
      </c>
      <c r="G71" t="str">
        <f>IF($A71="","",COUNTIFS(LL[Reason for Line Listing],"Case",LL[Role],G$3,LL[Day 0],$A71))</f>
        <v/>
      </c>
      <c r="H71" t="str">
        <f>IF($A71="","",COUNTIFS(LL[Reason for Line Listing],"Case",LL[Role],H$3,LL[Day 0],$A71))</f>
        <v/>
      </c>
      <c r="I71" t="str">
        <f>IF($A71="","",COUNTIFS(LL[Reason for Line Listing],"Case",LL[Role],I$3,LL[Day 0],$A71))</f>
        <v/>
      </c>
      <c r="J71" t="str">
        <f>IF($A71="","",COUNTIFS(LL[Reason for Line Listing],"Case",LL[Role],J$3,LL[Day 0],$A71))</f>
        <v/>
      </c>
      <c r="K71" s="145" t="str">
        <f t="shared" si="19"/>
        <v/>
      </c>
    </row>
    <row r="72" spans="1:15" x14ac:dyDescent="0.3">
      <c r="A72" s="106" t="str">
        <f>IF(A71="","",IF(A71=MAX(LL[Day 0]),"",A71+1))</f>
        <v/>
      </c>
      <c r="B72" t="str">
        <f>IF($A72="","",COUNTIFS(LL[Reason for Line Listing],"Case",LL[Role],B$3,LL[Day 0],$A72))</f>
        <v/>
      </c>
      <c r="C72" t="str">
        <f>IF($A72="","",COUNTIFS(LL[Reason for Line Listing],"Case",LL[Role],C$3,LL[Day 0],$A72))</f>
        <v/>
      </c>
      <c r="D72" t="str">
        <f>IF($A72="","",COUNTIFS(LL[Reason for Line Listing],"Case",LL[Role],D$3,LL[Day 0],$A72))</f>
        <v/>
      </c>
      <c r="E72" t="str">
        <f>IF($A72="","",COUNTIFS(LL[Reason for Line Listing],"Case",LL[Role],E$3,LL[Day 0],$A72))</f>
        <v/>
      </c>
      <c r="F72" t="str">
        <f>IF($A72="","",COUNTIFS(LL[Reason for Line Listing],"Case",LL[Role],F$3,LL[Day 0],$A72))</f>
        <v/>
      </c>
      <c r="G72" t="str">
        <f>IF($A72="","",COUNTIFS(LL[Reason for Line Listing],"Case",LL[Role],G$3,LL[Day 0],$A72))</f>
        <v/>
      </c>
      <c r="H72" t="str">
        <f>IF($A72="","",COUNTIFS(LL[Reason for Line Listing],"Case",LL[Role],H$3,LL[Day 0],$A72))</f>
        <v/>
      </c>
      <c r="I72" t="str">
        <f>IF($A72="","",COUNTIFS(LL[Reason for Line Listing],"Case",LL[Role],I$3,LL[Day 0],$A72))</f>
        <v/>
      </c>
      <c r="J72" t="str">
        <f>IF($A72="","",COUNTIFS(LL[Reason for Line Listing],"Case",LL[Role],J$3,LL[Day 0],$A72))</f>
        <v/>
      </c>
      <c r="K72" s="145" t="str">
        <f t="shared" si="19"/>
        <v/>
      </c>
    </row>
    <row r="73" spans="1:15" x14ac:dyDescent="0.3">
      <c r="A73" s="106" t="str">
        <f>IF(A72="","",IF(A72=MAX(LL[Day 0]),"",A72+1))</f>
        <v/>
      </c>
      <c r="B73" t="str">
        <f>IF($A73="","",COUNTIFS(LL[Reason for Line Listing],"Case",LL[Role],B$3,LL[Day 0],$A73))</f>
        <v/>
      </c>
      <c r="C73" t="str">
        <f>IF($A73="","",COUNTIFS(LL[Reason for Line Listing],"Case",LL[Role],C$3,LL[Day 0],$A73))</f>
        <v/>
      </c>
      <c r="D73" t="str">
        <f>IF($A73="","",COUNTIFS(LL[Reason for Line Listing],"Case",LL[Role],D$3,LL[Day 0],$A73))</f>
        <v/>
      </c>
      <c r="E73" t="str">
        <f>IF($A73="","",COUNTIFS(LL[Reason for Line Listing],"Case",LL[Role],E$3,LL[Day 0],$A73))</f>
        <v/>
      </c>
      <c r="F73" t="str">
        <f>IF($A73="","",COUNTIFS(LL[Reason for Line Listing],"Case",LL[Role],F$3,LL[Day 0],$A73))</f>
        <v/>
      </c>
      <c r="G73" t="str">
        <f>IF($A73="","",COUNTIFS(LL[Reason for Line Listing],"Case",LL[Role],G$3,LL[Day 0],$A73))</f>
        <v/>
      </c>
      <c r="H73" t="str">
        <f>IF($A73="","",COUNTIFS(LL[Reason for Line Listing],"Case",LL[Role],H$3,LL[Day 0],$A73))</f>
        <v/>
      </c>
      <c r="I73" t="str">
        <f>IF($A73="","",COUNTIFS(LL[Reason for Line Listing],"Case",LL[Role],I$3,LL[Day 0],$A73))</f>
        <v/>
      </c>
      <c r="J73" t="str">
        <f>IF($A73="","",COUNTIFS(LL[Reason for Line Listing],"Case",LL[Role],J$3,LL[Day 0],$A73))</f>
        <v/>
      </c>
      <c r="K73" s="145" t="str">
        <f t="shared" si="19"/>
        <v/>
      </c>
    </row>
    <row r="74" spans="1:15" x14ac:dyDescent="0.3">
      <c r="A74" s="106" t="str">
        <f>IF(A73="","",IF(A73=MAX(LL[Day 0]),"",A73+1))</f>
        <v/>
      </c>
      <c r="B74" t="str">
        <f>IF($A74="","",COUNTIFS(LL[Reason for Line Listing],"Case",LL[Role],B$3,LL[Day 0],$A74))</f>
        <v/>
      </c>
      <c r="C74" t="str">
        <f>IF($A74="","",COUNTIFS(LL[Reason for Line Listing],"Case",LL[Role],C$3,LL[Day 0],$A74))</f>
        <v/>
      </c>
      <c r="D74" t="str">
        <f>IF($A74="","",COUNTIFS(LL[Reason for Line Listing],"Case",LL[Role],D$3,LL[Day 0],$A74))</f>
        <v/>
      </c>
      <c r="E74" t="str">
        <f>IF($A74="","",COUNTIFS(LL[Reason for Line Listing],"Case",LL[Role],E$3,LL[Day 0],$A74))</f>
        <v/>
      </c>
      <c r="F74" t="str">
        <f>IF($A74="","",COUNTIFS(LL[Reason for Line Listing],"Case",LL[Role],F$3,LL[Day 0],$A74))</f>
        <v/>
      </c>
      <c r="G74" t="str">
        <f>IF($A74="","",COUNTIFS(LL[Reason for Line Listing],"Case",LL[Role],G$3,LL[Day 0],$A74))</f>
        <v/>
      </c>
      <c r="H74" t="str">
        <f>IF($A74="","",COUNTIFS(LL[Reason for Line Listing],"Case",LL[Role],H$3,LL[Day 0],$A74))</f>
        <v/>
      </c>
      <c r="I74" t="str">
        <f>IF($A74="","",COUNTIFS(LL[Reason for Line Listing],"Case",LL[Role],I$3,LL[Day 0],$A74))</f>
        <v/>
      </c>
      <c r="J74" t="str">
        <f>IF($A74="","",COUNTIFS(LL[Reason for Line Listing],"Case",LL[Role],J$3,LL[Day 0],$A74))</f>
        <v/>
      </c>
      <c r="K74" s="145" t="str">
        <f t="shared" si="19"/>
        <v/>
      </c>
    </row>
    <row r="75" spans="1:15" x14ac:dyDescent="0.3">
      <c r="A75" s="106" t="str">
        <f>IF(A74="","",IF(A74=MAX(LL[Day 0]),"",A74+1))</f>
        <v/>
      </c>
      <c r="B75" t="str">
        <f>IF($A75="","",COUNTIFS(LL[Reason for Line Listing],"Case",LL[Role],B$3,LL[Day 0],$A75))</f>
        <v/>
      </c>
      <c r="C75" t="str">
        <f>IF($A75="","",COUNTIFS(LL[Reason for Line Listing],"Case",LL[Role],C$3,LL[Day 0],$A75))</f>
        <v/>
      </c>
      <c r="D75" t="str">
        <f>IF($A75="","",COUNTIFS(LL[Reason for Line Listing],"Case",LL[Role],D$3,LL[Day 0],$A75))</f>
        <v/>
      </c>
      <c r="E75" t="str">
        <f>IF($A75="","",COUNTIFS(LL[Reason for Line Listing],"Case",LL[Role],E$3,LL[Day 0],$A75))</f>
        <v/>
      </c>
      <c r="F75" t="str">
        <f>IF($A75="","",COUNTIFS(LL[Reason for Line Listing],"Case",LL[Role],F$3,LL[Day 0],$A75))</f>
        <v/>
      </c>
      <c r="G75" t="str">
        <f>IF($A75="","",COUNTIFS(LL[Reason for Line Listing],"Case",LL[Role],G$3,LL[Day 0],$A75))</f>
        <v/>
      </c>
      <c r="H75" t="str">
        <f>IF($A75="","",COUNTIFS(LL[Reason for Line Listing],"Case",LL[Role],H$3,LL[Day 0],$A75))</f>
        <v/>
      </c>
      <c r="I75" t="str">
        <f>IF($A75="","",COUNTIFS(LL[Reason for Line Listing],"Case",LL[Role],I$3,LL[Day 0],$A75))</f>
        <v/>
      </c>
      <c r="J75" t="str">
        <f>IF($A75="","",COUNTIFS(LL[Reason for Line Listing],"Case",LL[Role],J$3,LL[Day 0],$A75))</f>
        <v/>
      </c>
      <c r="K75" s="145" t="str">
        <f t="shared" si="19"/>
        <v/>
      </c>
    </row>
    <row r="76" spans="1:15" x14ac:dyDescent="0.3">
      <c r="A76" s="106" t="str">
        <f>IF(A75="","",IF(A75=MAX(LL[Day 0]),"",A75+1))</f>
        <v/>
      </c>
      <c r="B76" t="str">
        <f>IF($A76="","",COUNTIFS(LL[Reason for Line Listing],"Case",LL[Role],B$3,LL[Day 0],$A76))</f>
        <v/>
      </c>
      <c r="C76" t="str">
        <f>IF($A76="","",COUNTIFS(LL[Reason for Line Listing],"Case",LL[Role],C$3,LL[Day 0],$A76))</f>
        <v/>
      </c>
      <c r="D76" t="str">
        <f>IF($A76="","",COUNTIFS(LL[Reason for Line Listing],"Case",LL[Role],D$3,LL[Day 0],$A76))</f>
        <v/>
      </c>
      <c r="E76" t="str">
        <f>IF($A76="","",COUNTIFS(LL[Reason for Line Listing],"Case",LL[Role],E$3,LL[Day 0],$A76))</f>
        <v/>
      </c>
      <c r="F76" t="str">
        <f>IF($A76="","",COUNTIFS(LL[Reason for Line Listing],"Case",LL[Role],F$3,LL[Day 0],$A76))</f>
        <v/>
      </c>
      <c r="G76" t="str">
        <f>IF($A76="","",COUNTIFS(LL[Reason for Line Listing],"Case",LL[Role],G$3,LL[Day 0],$A76))</f>
        <v/>
      </c>
      <c r="H76" t="str">
        <f>IF($A76="","",COUNTIFS(LL[Reason for Line Listing],"Case",LL[Role],H$3,LL[Day 0],$A76))</f>
        <v/>
      </c>
      <c r="I76" t="str">
        <f>IF($A76="","",COUNTIFS(LL[Reason for Line Listing],"Case",LL[Role],I$3,LL[Day 0],$A76))</f>
        <v/>
      </c>
      <c r="J76" t="str">
        <f>IF($A76="","",COUNTIFS(LL[Reason for Line Listing],"Case",LL[Role],J$3,LL[Day 0],$A76))</f>
        <v/>
      </c>
      <c r="K76" s="145" t="str">
        <f t="shared" si="19"/>
        <v/>
      </c>
    </row>
    <row r="77" spans="1:15" x14ac:dyDescent="0.3">
      <c r="A77" s="106" t="str">
        <f>IF(A76="","",IF(A76=MAX(LL[Day 0]),"",A76+1))</f>
        <v/>
      </c>
      <c r="B77" t="str">
        <f>IF($A77="","",COUNTIFS(LL[Reason for Line Listing],"Case",LL[Role],B$3,LL[Day 0],$A77))</f>
        <v/>
      </c>
      <c r="C77" t="str">
        <f>IF($A77="","",COUNTIFS(LL[Reason for Line Listing],"Case",LL[Role],C$3,LL[Day 0],$A77))</f>
        <v/>
      </c>
      <c r="D77" t="str">
        <f>IF($A77="","",COUNTIFS(LL[Reason for Line Listing],"Case",LL[Role],D$3,LL[Day 0],$A77))</f>
        <v/>
      </c>
      <c r="E77" t="str">
        <f>IF($A77="","",COUNTIFS(LL[Reason for Line Listing],"Case",LL[Role],E$3,LL[Day 0],$A77))</f>
        <v/>
      </c>
      <c r="F77" t="str">
        <f>IF($A77="","",COUNTIFS(LL[Reason for Line Listing],"Case",LL[Role],F$3,LL[Day 0],$A77))</f>
        <v/>
      </c>
      <c r="G77" t="str">
        <f>IF($A77="","",COUNTIFS(LL[Reason for Line Listing],"Case",LL[Role],G$3,LL[Day 0],$A77))</f>
        <v/>
      </c>
      <c r="H77" t="str">
        <f>IF($A77="","",COUNTIFS(LL[Reason for Line Listing],"Case",LL[Role],H$3,LL[Day 0],$A77))</f>
        <v/>
      </c>
      <c r="I77" t="str">
        <f>IF($A77="","",COUNTIFS(LL[Reason for Line Listing],"Case",LL[Role],I$3,LL[Day 0],$A77))</f>
        <v/>
      </c>
      <c r="J77" t="str">
        <f>IF($A77="","",COUNTIFS(LL[Reason for Line Listing],"Case",LL[Role],J$3,LL[Day 0],$A77))</f>
        <v/>
      </c>
      <c r="K77" s="145" t="str">
        <f t="shared" si="19"/>
        <v/>
      </c>
    </row>
    <row r="78" spans="1:15" x14ac:dyDescent="0.3">
      <c r="A78" s="106" t="str">
        <f>IF(A77="","",IF(A77=MAX(LL[Day 0]),"",A77+1))</f>
        <v/>
      </c>
      <c r="B78" t="str">
        <f>IF($A78="","",COUNTIFS(LL[Reason for Line Listing],"Case",LL[Role],B$3,LL[Day 0],$A78))</f>
        <v/>
      </c>
      <c r="C78" t="str">
        <f>IF($A78="","",COUNTIFS(LL[Reason for Line Listing],"Case",LL[Role],C$3,LL[Day 0],$A78))</f>
        <v/>
      </c>
      <c r="D78" t="str">
        <f>IF($A78="","",COUNTIFS(LL[Reason for Line Listing],"Case",LL[Role],D$3,LL[Day 0],$A78))</f>
        <v/>
      </c>
      <c r="E78" t="str">
        <f>IF($A78="","",COUNTIFS(LL[Reason for Line Listing],"Case",LL[Role],E$3,LL[Day 0],$A78))</f>
        <v/>
      </c>
      <c r="F78" t="str">
        <f>IF($A78="","",COUNTIFS(LL[Reason for Line Listing],"Case",LL[Role],F$3,LL[Day 0],$A78))</f>
        <v/>
      </c>
      <c r="G78" t="str">
        <f>IF($A78="","",COUNTIFS(LL[Reason for Line Listing],"Case",LL[Role],G$3,LL[Day 0],$A78))</f>
        <v/>
      </c>
      <c r="H78" t="str">
        <f>IF($A78="","",COUNTIFS(LL[Reason for Line Listing],"Case",LL[Role],H$3,LL[Day 0],$A78))</f>
        <v/>
      </c>
      <c r="I78" t="str">
        <f>IF($A78="","",COUNTIFS(LL[Reason for Line Listing],"Case",LL[Role],I$3,LL[Day 0],$A78))</f>
        <v/>
      </c>
      <c r="J78" t="str">
        <f>IF($A78="","",COUNTIFS(LL[Reason for Line Listing],"Case",LL[Role],J$3,LL[Day 0],$A78))</f>
        <v/>
      </c>
      <c r="K78" s="145" t="str">
        <f t="shared" si="19"/>
        <v/>
      </c>
    </row>
    <row r="79" spans="1:15" x14ac:dyDescent="0.3">
      <c r="A79" s="106" t="str">
        <f>IF(A78="","",IF(A78=MAX(LL[Day 0]),"",A78+1))</f>
        <v/>
      </c>
      <c r="B79" t="str">
        <f>IF($A79="","",COUNTIFS(LL[Reason for Line Listing],"Case",LL[Role],B$3,LL[Day 0],$A79))</f>
        <v/>
      </c>
      <c r="C79" t="str">
        <f>IF($A79="","",COUNTIFS(LL[Reason for Line Listing],"Case",LL[Role],C$3,LL[Day 0],$A79))</f>
        <v/>
      </c>
      <c r="D79" t="str">
        <f>IF($A79="","",COUNTIFS(LL[Reason for Line Listing],"Case",LL[Role],D$3,LL[Day 0],$A79))</f>
        <v/>
      </c>
      <c r="E79" t="str">
        <f>IF($A79="","",COUNTIFS(LL[Reason for Line Listing],"Case",LL[Role],E$3,LL[Day 0],$A79))</f>
        <v/>
      </c>
      <c r="F79" t="str">
        <f>IF($A79="","",COUNTIFS(LL[Reason for Line Listing],"Case",LL[Role],F$3,LL[Day 0],$A79))</f>
        <v/>
      </c>
      <c r="G79" t="str">
        <f>IF($A79="","",COUNTIFS(LL[Reason for Line Listing],"Case",LL[Role],G$3,LL[Day 0],$A79))</f>
        <v/>
      </c>
      <c r="H79" t="str">
        <f>IF($A79="","",COUNTIFS(LL[Reason for Line Listing],"Case",LL[Role],H$3,LL[Day 0],$A79))</f>
        <v/>
      </c>
      <c r="I79" t="str">
        <f>IF($A79="","",COUNTIFS(LL[Reason for Line Listing],"Case",LL[Role],I$3,LL[Day 0],$A79))</f>
        <v/>
      </c>
      <c r="J79" t="str">
        <f>IF($A79="","",COUNTIFS(LL[Reason for Line Listing],"Case",LL[Role],J$3,LL[Day 0],$A79))</f>
        <v/>
      </c>
      <c r="K79" s="145" t="str">
        <f t="shared" si="19"/>
        <v/>
      </c>
    </row>
    <row r="80" spans="1:15" x14ac:dyDescent="0.3">
      <c r="A80" s="106" t="str">
        <f>IF(A79="","",IF(A79=MAX(LL[Day 0]),"",A79+1))</f>
        <v/>
      </c>
      <c r="B80" t="str">
        <f>IF($A80="","",COUNTIFS(LL[Reason for Line Listing],"Case",LL[Role],B$3,LL[Day 0],$A80))</f>
        <v/>
      </c>
      <c r="C80" t="str">
        <f>IF($A80="","",COUNTIFS(LL[Reason for Line Listing],"Case",LL[Role],C$3,LL[Day 0],$A80))</f>
        <v/>
      </c>
      <c r="D80" t="str">
        <f>IF($A80="","",COUNTIFS(LL[Reason for Line Listing],"Case",LL[Role],D$3,LL[Day 0],$A80))</f>
        <v/>
      </c>
      <c r="E80" t="str">
        <f>IF($A80="","",COUNTIFS(LL[Reason for Line Listing],"Case",LL[Role],E$3,LL[Day 0],$A80))</f>
        <v/>
      </c>
      <c r="F80" t="str">
        <f>IF($A80="","",COUNTIFS(LL[Reason for Line Listing],"Case",LL[Role],F$3,LL[Day 0],$A80))</f>
        <v/>
      </c>
      <c r="G80" t="str">
        <f>IF($A80="","",COUNTIFS(LL[Reason for Line Listing],"Case",LL[Role],G$3,LL[Day 0],$A80))</f>
        <v/>
      </c>
      <c r="H80" t="str">
        <f>IF($A80="","",COUNTIFS(LL[Reason for Line Listing],"Case",LL[Role],H$3,LL[Day 0],$A80))</f>
        <v/>
      </c>
      <c r="I80" t="str">
        <f>IF($A80="","",COUNTIFS(LL[Reason for Line Listing],"Case",LL[Role],I$3,LL[Day 0],$A80))</f>
        <v/>
      </c>
      <c r="J80" t="str">
        <f>IF($A80="","",COUNTIFS(LL[Reason for Line Listing],"Case",LL[Role],J$3,LL[Day 0],$A80))</f>
        <v/>
      </c>
      <c r="K80" s="145" t="str">
        <f t="shared" si="19"/>
        <v/>
      </c>
    </row>
    <row r="81" spans="1:11" x14ac:dyDescent="0.3">
      <c r="A81" s="106" t="str">
        <f>IF(A80="","",IF(A80=MAX(LL[Day 0]),"",A80+1))</f>
        <v/>
      </c>
      <c r="B81" t="str">
        <f>IF($A81="","",COUNTIFS(LL[Reason for Line Listing],"Case",LL[Role],B$3,LL[Day 0],$A81))</f>
        <v/>
      </c>
      <c r="C81" t="str">
        <f>IF($A81="","",COUNTIFS(LL[Reason for Line Listing],"Case",LL[Role],C$3,LL[Day 0],$A81))</f>
        <v/>
      </c>
      <c r="D81" t="str">
        <f>IF($A81="","",COUNTIFS(LL[Reason for Line Listing],"Case",LL[Role],D$3,LL[Day 0],$A81))</f>
        <v/>
      </c>
      <c r="E81" t="str">
        <f>IF($A81="","",COUNTIFS(LL[Reason for Line Listing],"Case",LL[Role],E$3,LL[Day 0],$A81))</f>
        <v/>
      </c>
      <c r="F81" t="str">
        <f>IF($A81="","",COUNTIFS(LL[Reason for Line Listing],"Case",LL[Role],F$3,LL[Day 0],$A81))</f>
        <v/>
      </c>
      <c r="G81" t="str">
        <f>IF($A81="","",COUNTIFS(LL[Reason for Line Listing],"Case",LL[Role],G$3,LL[Day 0],$A81))</f>
        <v/>
      </c>
      <c r="H81" t="str">
        <f>IF($A81="","",COUNTIFS(LL[Reason for Line Listing],"Case",LL[Role],H$3,LL[Day 0],$A81))</f>
        <v/>
      </c>
      <c r="I81" t="str">
        <f>IF($A81="","",COUNTIFS(LL[Reason for Line Listing],"Case",LL[Role],I$3,LL[Day 0],$A81))</f>
        <v/>
      </c>
      <c r="J81" t="str">
        <f>IF($A81="","",COUNTIFS(LL[Reason for Line Listing],"Case",LL[Role],J$3,LL[Day 0],$A81))</f>
        <v/>
      </c>
      <c r="K81" s="145" t="str">
        <f t="shared" si="19"/>
        <v/>
      </c>
    </row>
    <row r="82" spans="1:11" x14ac:dyDescent="0.3">
      <c r="A82" s="106" t="str">
        <f>IF(A81="","",IF(A81=MAX(LL[Day 0]),"",A81+1))</f>
        <v/>
      </c>
      <c r="B82" t="str">
        <f>IF($A82="","",COUNTIFS(LL[Reason for Line Listing],"Case",LL[Role],B$3,LL[Day 0],$A82))</f>
        <v/>
      </c>
      <c r="C82" t="str">
        <f>IF($A82="","",COUNTIFS(LL[Reason for Line Listing],"Case",LL[Role],C$3,LL[Day 0],$A82))</f>
        <v/>
      </c>
      <c r="D82" t="str">
        <f>IF($A82="","",COUNTIFS(LL[Reason for Line Listing],"Case",LL[Role],D$3,LL[Day 0],$A82))</f>
        <v/>
      </c>
      <c r="E82" t="str">
        <f>IF($A82="","",COUNTIFS(LL[Reason for Line Listing],"Case",LL[Role],E$3,LL[Day 0],$A82))</f>
        <v/>
      </c>
      <c r="F82" t="str">
        <f>IF($A82="","",COUNTIFS(LL[Reason for Line Listing],"Case",LL[Role],F$3,LL[Day 0],$A82))</f>
        <v/>
      </c>
      <c r="G82" t="str">
        <f>IF($A82="","",COUNTIFS(LL[Reason for Line Listing],"Case",LL[Role],G$3,LL[Day 0],$A82))</f>
        <v/>
      </c>
      <c r="H82" t="str">
        <f>IF($A82="","",COUNTIFS(LL[Reason for Line Listing],"Case",LL[Role],H$3,LL[Day 0],$A82))</f>
        <v/>
      </c>
      <c r="I82" t="str">
        <f>IF($A82="","",COUNTIFS(LL[Reason for Line Listing],"Case",LL[Role],I$3,LL[Day 0],$A82))</f>
        <v/>
      </c>
      <c r="J82" t="str">
        <f>IF($A82="","",COUNTIFS(LL[Reason for Line Listing],"Case",LL[Role],J$3,LL[Day 0],$A82))</f>
        <v/>
      </c>
      <c r="K82" s="145" t="str">
        <f t="shared" si="19"/>
        <v/>
      </c>
    </row>
    <row r="83" spans="1:11" x14ac:dyDescent="0.3">
      <c r="A83" s="106" t="str">
        <f>IF(A82="","",IF(A82=MAX(LL[Day 0]),"",A82+1))</f>
        <v/>
      </c>
      <c r="B83" t="str">
        <f>IF($A83="","",COUNTIFS(LL[Reason for Line Listing],"Case",LL[Role],B$3,LL[Day 0],$A83))</f>
        <v/>
      </c>
      <c r="C83" t="str">
        <f>IF($A83="","",COUNTIFS(LL[Reason for Line Listing],"Case",LL[Role],C$3,LL[Day 0],$A83))</f>
        <v/>
      </c>
      <c r="D83" t="str">
        <f>IF($A83="","",COUNTIFS(LL[Reason for Line Listing],"Case",LL[Role],D$3,LL[Day 0],$A83))</f>
        <v/>
      </c>
      <c r="E83" t="str">
        <f>IF($A83="","",COUNTIFS(LL[Reason for Line Listing],"Case",LL[Role],E$3,LL[Day 0],$A83))</f>
        <v/>
      </c>
      <c r="F83" t="str">
        <f>IF($A83="","",COUNTIFS(LL[Reason for Line Listing],"Case",LL[Role],F$3,LL[Day 0],$A83))</f>
        <v/>
      </c>
      <c r="G83" t="str">
        <f>IF($A83="","",COUNTIFS(LL[Reason for Line Listing],"Case",LL[Role],G$3,LL[Day 0],$A83))</f>
        <v/>
      </c>
      <c r="H83" t="str">
        <f>IF($A83="","",COUNTIFS(LL[Reason for Line Listing],"Case",LL[Role],H$3,LL[Day 0],$A83))</f>
        <v/>
      </c>
      <c r="I83" t="str">
        <f>IF($A83="","",COUNTIFS(LL[Reason for Line Listing],"Case",LL[Role],I$3,LL[Day 0],$A83))</f>
        <v/>
      </c>
      <c r="J83" t="str">
        <f>IF($A83="","",COUNTIFS(LL[Reason for Line Listing],"Case",LL[Role],J$3,LL[Day 0],$A83))</f>
        <v/>
      </c>
      <c r="K83" s="145" t="str">
        <f t="shared" si="19"/>
        <v/>
      </c>
    </row>
    <row r="84" spans="1:11" x14ac:dyDescent="0.3">
      <c r="A84" s="106" t="str">
        <f>IF(A83="","",IF(A83=MAX(LL[Day 0]),"",A83+1))</f>
        <v/>
      </c>
      <c r="B84" t="str">
        <f>IF($A84="","",COUNTIFS(LL[Reason for Line Listing],"Case",LL[Role],B$3,LL[Day 0],$A84))</f>
        <v/>
      </c>
      <c r="C84" t="str">
        <f>IF($A84="","",COUNTIFS(LL[Reason for Line Listing],"Case",LL[Role],C$3,LL[Day 0],$A84))</f>
        <v/>
      </c>
      <c r="D84" t="str">
        <f>IF($A84="","",COUNTIFS(LL[Reason for Line Listing],"Case",LL[Role],D$3,LL[Day 0],$A84))</f>
        <v/>
      </c>
      <c r="E84" t="str">
        <f>IF($A84="","",COUNTIFS(LL[Reason for Line Listing],"Case",LL[Role],E$3,LL[Day 0],$A84))</f>
        <v/>
      </c>
      <c r="F84" t="str">
        <f>IF($A84="","",COUNTIFS(LL[Reason for Line Listing],"Case",LL[Role],F$3,LL[Day 0],$A84))</f>
        <v/>
      </c>
      <c r="G84" t="str">
        <f>IF($A84="","",COUNTIFS(LL[Reason for Line Listing],"Case",LL[Role],G$3,LL[Day 0],$A84))</f>
        <v/>
      </c>
      <c r="H84" t="str">
        <f>IF($A84="","",COUNTIFS(LL[Reason for Line Listing],"Case",LL[Role],H$3,LL[Day 0],$A84))</f>
        <v/>
      </c>
      <c r="I84" t="str">
        <f>IF($A84="","",COUNTIFS(LL[Reason for Line Listing],"Case",LL[Role],I$3,LL[Day 0],$A84))</f>
        <v/>
      </c>
      <c r="J84" t="str">
        <f>IF($A84="","",COUNTIFS(LL[Reason for Line Listing],"Case",LL[Role],J$3,LL[Day 0],$A84))</f>
        <v/>
      </c>
      <c r="K84" s="145" t="str">
        <f t="shared" si="19"/>
        <v/>
      </c>
    </row>
    <row r="85" spans="1:11" x14ac:dyDescent="0.3">
      <c r="A85" s="106" t="str">
        <f>IF(A84="","",IF(A84=MAX(LL[Day 0]),"",A84+1))</f>
        <v/>
      </c>
      <c r="B85" t="str">
        <f>IF($A85="","",COUNTIFS(LL[Reason for Line Listing],"Case",LL[Role],B$3,LL[Day 0],$A85))</f>
        <v/>
      </c>
      <c r="C85" t="str">
        <f>IF($A85="","",COUNTIFS(LL[Reason for Line Listing],"Case",LL[Role],C$3,LL[Day 0],$A85))</f>
        <v/>
      </c>
      <c r="D85" t="str">
        <f>IF($A85="","",COUNTIFS(LL[Reason for Line Listing],"Case",LL[Role],D$3,LL[Day 0],$A85))</f>
        <v/>
      </c>
      <c r="E85" t="str">
        <f>IF($A85="","",COUNTIFS(LL[Reason for Line Listing],"Case",LL[Role],E$3,LL[Day 0],$A85))</f>
        <v/>
      </c>
      <c r="F85" t="str">
        <f>IF($A85="","",COUNTIFS(LL[Reason for Line Listing],"Case",LL[Role],F$3,LL[Day 0],$A85))</f>
        <v/>
      </c>
      <c r="G85" t="str">
        <f>IF($A85="","",COUNTIFS(LL[Reason for Line Listing],"Case",LL[Role],G$3,LL[Day 0],$A85))</f>
        <v/>
      </c>
      <c r="H85" t="str">
        <f>IF($A85="","",COUNTIFS(LL[Reason for Line Listing],"Case",LL[Role],H$3,LL[Day 0],$A85))</f>
        <v/>
      </c>
      <c r="I85" t="str">
        <f>IF($A85="","",COUNTIFS(LL[Reason for Line Listing],"Case",LL[Role],I$3,LL[Day 0],$A85))</f>
        <v/>
      </c>
      <c r="J85" t="str">
        <f>IF($A85="","",COUNTIFS(LL[Reason for Line Listing],"Case",LL[Role],J$3,LL[Day 0],$A85))</f>
        <v/>
      </c>
      <c r="K85" s="145" t="str">
        <f t="shared" si="19"/>
        <v/>
      </c>
    </row>
    <row r="86" spans="1:11" x14ac:dyDescent="0.3">
      <c r="A86" s="106" t="str">
        <f>IF(A85="","",IF(A85=MAX(LL[Day 0]),"",A85+1))</f>
        <v/>
      </c>
      <c r="B86" t="str">
        <f>IF($A86="","",COUNTIFS(LL[Reason for Line Listing],"Case",LL[Role],B$3,LL[Day 0],$A86))</f>
        <v/>
      </c>
      <c r="C86" t="str">
        <f>IF($A86="","",COUNTIFS(LL[Reason for Line Listing],"Case",LL[Role],C$3,LL[Day 0],$A86))</f>
        <v/>
      </c>
      <c r="D86" t="str">
        <f>IF($A86="","",COUNTIFS(LL[Reason for Line Listing],"Case",LL[Role],D$3,LL[Day 0],$A86))</f>
        <v/>
      </c>
      <c r="E86" t="str">
        <f>IF($A86="","",COUNTIFS(LL[Reason for Line Listing],"Case",LL[Role],E$3,LL[Day 0],$A86))</f>
        <v/>
      </c>
      <c r="F86" t="str">
        <f>IF($A86="","",COUNTIFS(LL[Reason for Line Listing],"Case",LL[Role],F$3,LL[Day 0],$A86))</f>
        <v/>
      </c>
      <c r="G86" t="str">
        <f>IF($A86="","",COUNTIFS(LL[Reason for Line Listing],"Case",LL[Role],G$3,LL[Day 0],$A86))</f>
        <v/>
      </c>
      <c r="H86" t="str">
        <f>IF($A86="","",COUNTIFS(LL[Reason for Line Listing],"Case",LL[Role],H$3,LL[Day 0],$A86))</f>
        <v/>
      </c>
      <c r="I86" t="str">
        <f>IF($A86="","",COUNTIFS(LL[Reason for Line Listing],"Case",LL[Role],I$3,LL[Day 0],$A86))</f>
        <v/>
      </c>
      <c r="J86" t="str">
        <f>IF($A86="","",COUNTIFS(LL[Reason for Line Listing],"Case",LL[Role],J$3,LL[Day 0],$A86))</f>
        <v/>
      </c>
      <c r="K86" s="145" t="str">
        <f t="shared" si="19"/>
        <v/>
      </c>
    </row>
    <row r="87" spans="1:11" x14ac:dyDescent="0.3">
      <c r="A87" s="106" t="str">
        <f>IF(A86="","",IF(A86=MAX(LL[Day 0]),"",A86+1))</f>
        <v/>
      </c>
      <c r="B87" t="str">
        <f>IF($A87="","",COUNTIFS(LL[Reason for Line Listing],"Case",LL[Role],B$3,LL[Day 0],$A87))</f>
        <v/>
      </c>
      <c r="C87" t="str">
        <f>IF($A87="","",COUNTIFS(LL[Reason for Line Listing],"Case",LL[Role],C$3,LL[Day 0],$A87))</f>
        <v/>
      </c>
      <c r="D87" t="str">
        <f>IF($A87="","",COUNTIFS(LL[Reason for Line Listing],"Case",LL[Role],D$3,LL[Day 0],$A87))</f>
        <v/>
      </c>
      <c r="E87" t="str">
        <f>IF($A87="","",COUNTIFS(LL[Reason for Line Listing],"Case",LL[Role],E$3,LL[Day 0],$A87))</f>
        <v/>
      </c>
      <c r="F87" t="str">
        <f>IF($A87="","",COUNTIFS(LL[Reason for Line Listing],"Case",LL[Role],F$3,LL[Day 0],$A87))</f>
        <v/>
      </c>
      <c r="G87" t="str">
        <f>IF($A87="","",COUNTIFS(LL[Reason for Line Listing],"Case",LL[Role],G$3,LL[Day 0],$A87))</f>
        <v/>
      </c>
      <c r="H87" t="str">
        <f>IF($A87="","",COUNTIFS(LL[Reason for Line Listing],"Case",LL[Role],H$3,LL[Day 0],$A87))</f>
        <v/>
      </c>
      <c r="I87" t="str">
        <f>IF($A87="","",COUNTIFS(LL[Reason for Line Listing],"Case",LL[Role],I$3,LL[Day 0],$A87))</f>
        <v/>
      </c>
      <c r="J87" t="str">
        <f>IF($A87="","",COUNTIFS(LL[Reason for Line Listing],"Case",LL[Role],J$3,LL[Day 0],$A87))</f>
        <v/>
      </c>
      <c r="K87" s="145" t="str">
        <f t="shared" si="19"/>
        <v/>
      </c>
    </row>
    <row r="88" spans="1:11" x14ac:dyDescent="0.3">
      <c r="A88" s="106" t="str">
        <f>IF(A87="","",IF(A87=MAX(LL[Day 0]),"",A87+1))</f>
        <v/>
      </c>
      <c r="B88" t="str">
        <f>IF($A88="","",COUNTIFS(LL[Reason for Line Listing],"Case",LL[Role],B$3,LL[Day 0],$A88))</f>
        <v/>
      </c>
      <c r="C88" t="str">
        <f>IF($A88="","",COUNTIFS(LL[Reason for Line Listing],"Case",LL[Role],C$3,LL[Day 0],$A88))</f>
        <v/>
      </c>
      <c r="D88" t="str">
        <f>IF($A88="","",COUNTIFS(LL[Reason for Line Listing],"Case",LL[Role],D$3,LL[Day 0],$A88))</f>
        <v/>
      </c>
      <c r="E88" t="str">
        <f>IF($A88="","",COUNTIFS(LL[Reason for Line Listing],"Case",LL[Role],E$3,LL[Day 0],$A88))</f>
        <v/>
      </c>
      <c r="F88" t="str">
        <f>IF($A88="","",COUNTIFS(LL[Reason for Line Listing],"Case",LL[Role],F$3,LL[Day 0],$A88))</f>
        <v/>
      </c>
      <c r="G88" t="str">
        <f>IF($A88="","",COUNTIFS(LL[Reason for Line Listing],"Case",LL[Role],G$3,LL[Day 0],$A88))</f>
        <v/>
      </c>
      <c r="H88" t="str">
        <f>IF($A88="","",COUNTIFS(LL[Reason for Line Listing],"Case",LL[Role],H$3,LL[Day 0],$A88))</f>
        <v/>
      </c>
      <c r="I88" t="str">
        <f>IF($A88="","",COUNTIFS(LL[Reason for Line Listing],"Case",LL[Role],I$3,LL[Day 0],$A88))</f>
        <v/>
      </c>
      <c r="J88" t="str">
        <f>IF($A88="","",COUNTIFS(LL[Reason for Line Listing],"Case",LL[Role],J$3,LL[Day 0],$A88))</f>
        <v/>
      </c>
      <c r="K88" s="145" t="str">
        <f t="shared" si="19"/>
        <v/>
      </c>
    </row>
    <row r="89" spans="1:11" x14ac:dyDescent="0.3">
      <c r="A89" s="106" t="str">
        <f>IF(A88="","",IF(A88=MAX(LL[Day 0]),"",A88+1))</f>
        <v/>
      </c>
      <c r="B89" t="str">
        <f>IF($A89="","",COUNTIFS(LL[Reason for Line Listing],"Case",LL[Role],B$3,LL[Day 0],$A89))</f>
        <v/>
      </c>
      <c r="C89" t="str">
        <f>IF($A89="","",COUNTIFS(LL[Reason for Line Listing],"Case",LL[Role],C$3,LL[Day 0],$A89))</f>
        <v/>
      </c>
      <c r="D89" t="str">
        <f>IF($A89="","",COUNTIFS(LL[Reason for Line Listing],"Case",LL[Role],D$3,LL[Day 0],$A89))</f>
        <v/>
      </c>
      <c r="E89" t="str">
        <f>IF($A89="","",COUNTIFS(LL[Reason for Line Listing],"Case",LL[Role],E$3,LL[Day 0],$A89))</f>
        <v/>
      </c>
      <c r="F89" t="str">
        <f>IF($A89="","",COUNTIFS(LL[Reason for Line Listing],"Case",LL[Role],F$3,LL[Day 0],$A89))</f>
        <v/>
      </c>
      <c r="G89" t="str">
        <f>IF($A89="","",COUNTIFS(LL[Reason for Line Listing],"Case",LL[Role],G$3,LL[Day 0],$A89))</f>
        <v/>
      </c>
      <c r="H89" t="str">
        <f>IF($A89="","",COUNTIFS(LL[Reason for Line Listing],"Case",LL[Role],H$3,LL[Day 0],$A89))</f>
        <v/>
      </c>
      <c r="I89" t="str">
        <f>IF($A89="","",COUNTIFS(LL[Reason for Line Listing],"Case",LL[Role],I$3,LL[Day 0],$A89))</f>
        <v/>
      </c>
      <c r="J89" t="str">
        <f>IF($A89="","",COUNTIFS(LL[Reason for Line Listing],"Case",LL[Role],J$3,LL[Day 0],$A89))</f>
        <v/>
      </c>
      <c r="K89" s="145" t="str">
        <f t="shared" si="19"/>
        <v/>
      </c>
    </row>
    <row r="90" spans="1:11" x14ac:dyDescent="0.3">
      <c r="A90" s="106" t="str">
        <f>IF(A89="","",IF(A89=MAX(LL[Day 0]),"",A89+1))</f>
        <v/>
      </c>
      <c r="B90" t="str">
        <f>IF($A90="","",COUNTIFS(LL[Reason for Line Listing],"Case",LL[Role],B$3,LL[Day 0],$A90))</f>
        <v/>
      </c>
      <c r="C90" t="str">
        <f>IF($A90="","",COUNTIFS(LL[Reason for Line Listing],"Case",LL[Role],C$3,LL[Day 0],$A90))</f>
        <v/>
      </c>
      <c r="D90" t="str">
        <f>IF($A90="","",COUNTIFS(LL[Reason for Line Listing],"Case",LL[Role],D$3,LL[Day 0],$A90))</f>
        <v/>
      </c>
      <c r="E90" t="str">
        <f>IF($A90="","",COUNTIFS(LL[Reason for Line Listing],"Case",LL[Role],E$3,LL[Day 0],$A90))</f>
        <v/>
      </c>
      <c r="F90" t="str">
        <f>IF($A90="","",COUNTIFS(LL[Reason for Line Listing],"Case",LL[Role],F$3,LL[Day 0],$A90))</f>
        <v/>
      </c>
      <c r="G90" t="str">
        <f>IF($A90="","",COUNTIFS(LL[Reason for Line Listing],"Case",LL[Role],G$3,LL[Day 0],$A90))</f>
        <v/>
      </c>
      <c r="H90" t="str">
        <f>IF($A90="","",COUNTIFS(LL[Reason for Line Listing],"Case",LL[Role],H$3,LL[Day 0],$A90))</f>
        <v/>
      </c>
      <c r="I90" t="str">
        <f>IF($A90="","",COUNTIFS(LL[Reason for Line Listing],"Case",LL[Role],I$3,LL[Day 0],$A90))</f>
        <v/>
      </c>
      <c r="J90" t="str">
        <f>IF($A90="","",COUNTIFS(LL[Reason for Line Listing],"Case",LL[Role],J$3,LL[Day 0],$A90))</f>
        <v/>
      </c>
      <c r="K90" s="145" t="str">
        <f t="shared" si="19"/>
        <v/>
      </c>
    </row>
    <row r="91" spans="1:11" x14ac:dyDescent="0.3">
      <c r="A91" s="106" t="str">
        <f>IF(A90="","",IF(A90=MAX(LL[Day 0]),"",A90+1))</f>
        <v/>
      </c>
      <c r="B91" t="str">
        <f>IF($A91="","",COUNTIFS(LL[Reason for Line Listing],"Case",LL[Role],B$3,LL[Day 0],$A91))</f>
        <v/>
      </c>
      <c r="C91" t="str">
        <f>IF($A91="","",COUNTIFS(LL[Reason for Line Listing],"Case",LL[Role],C$3,LL[Day 0],$A91))</f>
        <v/>
      </c>
      <c r="D91" t="str">
        <f>IF($A91="","",COUNTIFS(LL[Reason for Line Listing],"Case",LL[Role],D$3,LL[Day 0],$A91))</f>
        <v/>
      </c>
      <c r="E91" t="str">
        <f>IF($A91="","",COUNTIFS(LL[Reason for Line Listing],"Case",LL[Role],E$3,LL[Day 0],$A91))</f>
        <v/>
      </c>
      <c r="F91" t="str">
        <f>IF($A91="","",COUNTIFS(LL[Reason for Line Listing],"Case",LL[Role],F$3,LL[Day 0],$A91))</f>
        <v/>
      </c>
      <c r="G91" t="str">
        <f>IF($A91="","",COUNTIFS(LL[Reason for Line Listing],"Case",LL[Role],G$3,LL[Day 0],$A91))</f>
        <v/>
      </c>
      <c r="H91" t="str">
        <f>IF($A91="","",COUNTIFS(LL[Reason for Line Listing],"Case",LL[Role],H$3,LL[Day 0],$A91))</f>
        <v/>
      </c>
      <c r="I91" t="str">
        <f>IF($A91="","",COUNTIFS(LL[Reason for Line Listing],"Case",LL[Role],I$3,LL[Day 0],$A91))</f>
        <v/>
      </c>
      <c r="J91" t="str">
        <f>IF($A91="","",COUNTIFS(LL[Reason for Line Listing],"Case",LL[Role],J$3,LL[Day 0],$A91))</f>
        <v/>
      </c>
      <c r="K91" s="145" t="str">
        <f t="shared" si="19"/>
        <v/>
      </c>
    </row>
    <row r="92" spans="1:11" x14ac:dyDescent="0.3">
      <c r="A92" s="106" t="str">
        <f>IF(A91="","",IF(A91=MAX(LL[Day 0]),"",A91+1))</f>
        <v/>
      </c>
      <c r="B92" t="str">
        <f>IF($A92="","",COUNTIFS(LL[Reason for Line Listing],"Case",LL[Role],B$3,LL[Day 0],$A92))</f>
        <v/>
      </c>
      <c r="C92" t="str">
        <f>IF($A92="","",COUNTIFS(LL[Reason for Line Listing],"Case",LL[Role],C$3,LL[Day 0],$A92))</f>
        <v/>
      </c>
      <c r="D92" t="str">
        <f>IF($A92="","",COUNTIFS(LL[Reason for Line Listing],"Case",LL[Role],D$3,LL[Day 0],$A92))</f>
        <v/>
      </c>
      <c r="E92" t="str">
        <f>IF($A92="","",COUNTIFS(LL[Reason for Line Listing],"Case",LL[Role],E$3,LL[Day 0],$A92))</f>
        <v/>
      </c>
      <c r="F92" t="str">
        <f>IF($A92="","",COUNTIFS(LL[Reason for Line Listing],"Case",LL[Role],F$3,LL[Day 0],$A92))</f>
        <v/>
      </c>
      <c r="G92" t="str">
        <f>IF($A92="","",COUNTIFS(LL[Reason for Line Listing],"Case",LL[Role],G$3,LL[Day 0],$A92))</f>
        <v/>
      </c>
      <c r="H92" t="str">
        <f>IF($A92="","",COUNTIFS(LL[Reason for Line Listing],"Case",LL[Role],H$3,LL[Day 0],$A92))</f>
        <v/>
      </c>
      <c r="I92" t="str">
        <f>IF($A92="","",COUNTIFS(LL[Reason for Line Listing],"Case",LL[Role],I$3,LL[Day 0],$A92))</f>
        <v/>
      </c>
      <c r="J92" t="str">
        <f>IF($A92="","",COUNTIFS(LL[Reason for Line Listing],"Case",LL[Role],J$3,LL[Day 0],$A92))</f>
        <v/>
      </c>
      <c r="K92" s="145" t="str">
        <f t="shared" si="19"/>
        <v/>
      </c>
    </row>
    <row r="93" spans="1:11" x14ac:dyDescent="0.3">
      <c r="A93" s="106" t="str">
        <f>IF(A92="","",IF(A92=MAX(LL[Day 0]),"",A92+1))</f>
        <v/>
      </c>
      <c r="B93" t="str">
        <f>IF($A93="","",COUNTIFS(LL[Reason for Line Listing],"Case",LL[Role],B$3,LL[Day 0],$A93))</f>
        <v/>
      </c>
      <c r="C93" t="str">
        <f>IF($A93="","",COUNTIFS(LL[Reason for Line Listing],"Case",LL[Role],C$3,LL[Day 0],$A93))</f>
        <v/>
      </c>
      <c r="D93" t="str">
        <f>IF($A93="","",COUNTIFS(LL[Reason for Line Listing],"Case",LL[Role],D$3,LL[Day 0],$A93))</f>
        <v/>
      </c>
      <c r="E93" t="str">
        <f>IF($A93="","",COUNTIFS(LL[Reason for Line Listing],"Case",LL[Role],E$3,LL[Day 0],$A93))</f>
        <v/>
      </c>
      <c r="F93" t="str">
        <f>IF($A93="","",COUNTIFS(LL[Reason for Line Listing],"Case",LL[Role],F$3,LL[Day 0],$A93))</f>
        <v/>
      </c>
      <c r="G93" t="str">
        <f>IF($A93="","",COUNTIFS(LL[Reason for Line Listing],"Case",LL[Role],G$3,LL[Day 0],$A93))</f>
        <v/>
      </c>
      <c r="H93" t="str">
        <f>IF($A93="","",COUNTIFS(LL[Reason for Line Listing],"Case",LL[Role],H$3,LL[Day 0],$A93))</f>
        <v/>
      </c>
      <c r="I93" t="str">
        <f>IF($A93="","",COUNTIFS(LL[Reason for Line Listing],"Case",LL[Role],I$3,LL[Day 0],$A93))</f>
        <v/>
      </c>
      <c r="J93" t="str">
        <f>IF($A93="","",COUNTIFS(LL[Reason for Line Listing],"Case",LL[Role],J$3,LL[Day 0],$A93))</f>
        <v/>
      </c>
      <c r="K93" s="145" t="str">
        <f t="shared" si="19"/>
        <v/>
      </c>
    </row>
    <row r="94" spans="1:11" x14ac:dyDescent="0.3">
      <c r="A94" s="106" t="str">
        <f>IF(A93="","",IF(A93=MAX(LL[Day 0]),"",A93+1))</f>
        <v/>
      </c>
      <c r="B94" t="str">
        <f>IF($A94="","",COUNTIFS(LL[Reason for Line Listing],"Case",LL[Role],B$3,LL[Day 0],$A94))</f>
        <v/>
      </c>
      <c r="C94" t="str">
        <f>IF($A94="","",COUNTIFS(LL[Reason for Line Listing],"Case",LL[Role],C$3,LL[Day 0],$A94))</f>
        <v/>
      </c>
      <c r="D94" t="str">
        <f>IF($A94="","",COUNTIFS(LL[Reason for Line Listing],"Case",LL[Role],D$3,LL[Day 0],$A94))</f>
        <v/>
      </c>
      <c r="E94" t="str">
        <f>IF($A94="","",COUNTIFS(LL[Reason for Line Listing],"Case",LL[Role],E$3,LL[Day 0],$A94))</f>
        <v/>
      </c>
      <c r="F94" t="str">
        <f>IF($A94="","",COUNTIFS(LL[Reason for Line Listing],"Case",LL[Role],F$3,LL[Day 0],$A94))</f>
        <v/>
      </c>
      <c r="G94" t="str">
        <f>IF($A94="","",COUNTIFS(LL[Reason for Line Listing],"Case",LL[Role],G$3,LL[Day 0],$A94))</f>
        <v/>
      </c>
      <c r="H94" t="str">
        <f>IF($A94="","",COUNTIFS(LL[Reason for Line Listing],"Case",LL[Role],H$3,LL[Day 0],$A94))</f>
        <v/>
      </c>
      <c r="I94" t="str">
        <f>IF($A94="","",COUNTIFS(LL[Reason for Line Listing],"Case",LL[Role],I$3,LL[Day 0],$A94))</f>
        <v/>
      </c>
      <c r="J94" t="str">
        <f>IF($A94="","",COUNTIFS(LL[Reason for Line Listing],"Case",LL[Role],J$3,LL[Day 0],$A94))</f>
        <v/>
      </c>
      <c r="K94" s="145" t="str">
        <f t="shared" si="19"/>
        <v/>
      </c>
    </row>
    <row r="95" spans="1:11" x14ac:dyDescent="0.3">
      <c r="A95" s="106" t="str">
        <f>IF(A94="","",IF(A94=MAX(LL[Day 0]),"",A94+1))</f>
        <v/>
      </c>
      <c r="B95" t="str">
        <f>IF($A95="","",COUNTIFS(LL[Reason for Line Listing],"Case",LL[Role],B$3,LL[Day 0],$A95))</f>
        <v/>
      </c>
      <c r="C95" t="str">
        <f>IF($A95="","",COUNTIFS(LL[Reason for Line Listing],"Case",LL[Role],C$3,LL[Day 0],$A95))</f>
        <v/>
      </c>
      <c r="D95" t="str">
        <f>IF($A95="","",COUNTIFS(LL[Reason for Line Listing],"Case",LL[Role],D$3,LL[Day 0],$A95))</f>
        <v/>
      </c>
      <c r="E95" t="str">
        <f>IF($A95="","",COUNTIFS(LL[Reason for Line Listing],"Case",LL[Role],E$3,LL[Day 0],$A95))</f>
        <v/>
      </c>
      <c r="F95" t="str">
        <f>IF($A95="","",COUNTIFS(LL[Reason for Line Listing],"Case",LL[Role],F$3,LL[Day 0],$A95))</f>
        <v/>
      </c>
      <c r="G95" t="str">
        <f>IF($A95="","",COUNTIFS(LL[Reason for Line Listing],"Case",LL[Role],G$3,LL[Day 0],$A95))</f>
        <v/>
      </c>
      <c r="H95" t="str">
        <f>IF($A95="","",COUNTIFS(LL[Reason for Line Listing],"Case",LL[Role],H$3,LL[Day 0],$A95))</f>
        <v/>
      </c>
      <c r="I95" t="str">
        <f>IF($A95="","",COUNTIFS(LL[Reason for Line Listing],"Case",LL[Role],I$3,LL[Day 0],$A95))</f>
        <v/>
      </c>
      <c r="J95" t="str">
        <f>IF($A95="","",COUNTIFS(LL[Reason for Line Listing],"Case",LL[Role],J$3,LL[Day 0],$A95))</f>
        <v/>
      </c>
      <c r="K95" s="145" t="str">
        <f t="shared" si="19"/>
        <v/>
      </c>
    </row>
    <row r="96" spans="1:11" x14ac:dyDescent="0.3">
      <c r="A96" s="106" t="str">
        <f>IF(A95="","",IF(A95=MAX(LL[Day 0]),"",A95+1))</f>
        <v/>
      </c>
      <c r="B96" t="str">
        <f>IF($A96="","",COUNTIFS(LL[Reason for Line Listing],"Case",LL[Role],B$3,LL[Day 0],$A96))</f>
        <v/>
      </c>
      <c r="C96" t="str">
        <f>IF($A96="","",COUNTIFS(LL[Reason for Line Listing],"Case",LL[Role],C$3,LL[Day 0],$A96))</f>
        <v/>
      </c>
      <c r="D96" t="str">
        <f>IF($A96="","",COUNTIFS(LL[Reason for Line Listing],"Case",LL[Role],D$3,LL[Day 0],$A96))</f>
        <v/>
      </c>
      <c r="E96" t="str">
        <f>IF($A96="","",COUNTIFS(LL[Reason for Line Listing],"Case",LL[Role],E$3,LL[Day 0],$A96))</f>
        <v/>
      </c>
      <c r="F96" t="str">
        <f>IF($A96="","",COUNTIFS(LL[Reason for Line Listing],"Case",LL[Role],F$3,LL[Day 0],$A96))</f>
        <v/>
      </c>
      <c r="G96" t="str">
        <f>IF($A96="","",COUNTIFS(LL[Reason for Line Listing],"Case",LL[Role],G$3,LL[Day 0],$A96))</f>
        <v/>
      </c>
      <c r="H96" t="str">
        <f>IF($A96="","",COUNTIFS(LL[Reason for Line Listing],"Case",LL[Role],H$3,LL[Day 0],$A96))</f>
        <v/>
      </c>
      <c r="I96" t="str">
        <f>IF($A96="","",COUNTIFS(LL[Reason for Line Listing],"Case",LL[Role],I$3,LL[Day 0],$A96))</f>
        <v/>
      </c>
      <c r="J96" t="str">
        <f>IF($A96="","",COUNTIFS(LL[Reason for Line Listing],"Case",LL[Role],J$3,LL[Day 0],$A96))</f>
        <v/>
      </c>
      <c r="K96" s="145" t="str">
        <f t="shared" si="19"/>
        <v/>
      </c>
    </row>
    <row r="97" spans="1:11" x14ac:dyDescent="0.3">
      <c r="A97" s="106" t="str">
        <f>IF(A96="","",IF(A96=MAX(LL[Day 0]),"",A96+1))</f>
        <v/>
      </c>
      <c r="B97" t="str">
        <f>IF($A97="","",COUNTIFS(LL[Reason for Line Listing],"Case",LL[Role],B$3,LL[Day 0],$A97))</f>
        <v/>
      </c>
      <c r="C97" t="str">
        <f>IF($A97="","",COUNTIFS(LL[Reason for Line Listing],"Case",LL[Role],C$3,LL[Day 0],$A97))</f>
        <v/>
      </c>
      <c r="D97" t="str">
        <f>IF($A97="","",COUNTIFS(LL[Reason for Line Listing],"Case",LL[Role],D$3,LL[Day 0],$A97))</f>
        <v/>
      </c>
      <c r="E97" t="str">
        <f>IF($A97="","",COUNTIFS(LL[Reason for Line Listing],"Case",LL[Role],E$3,LL[Day 0],$A97))</f>
        <v/>
      </c>
      <c r="F97" t="str">
        <f>IF($A97="","",COUNTIFS(LL[Reason for Line Listing],"Case",LL[Role],F$3,LL[Day 0],$A97))</f>
        <v/>
      </c>
      <c r="G97" t="str">
        <f>IF($A97="","",COUNTIFS(LL[Reason for Line Listing],"Case",LL[Role],G$3,LL[Day 0],$A97))</f>
        <v/>
      </c>
      <c r="H97" t="str">
        <f>IF($A97="","",COUNTIFS(LL[Reason for Line Listing],"Case",LL[Role],H$3,LL[Day 0],$A97))</f>
        <v/>
      </c>
      <c r="I97" t="str">
        <f>IF($A97="","",COUNTIFS(LL[Reason for Line Listing],"Case",LL[Role],I$3,LL[Day 0],$A97))</f>
        <v/>
      </c>
      <c r="J97" t="str">
        <f>IF($A97="","",COUNTIFS(LL[Reason for Line Listing],"Case",LL[Role],J$3,LL[Day 0],$A97))</f>
        <v/>
      </c>
      <c r="K97" s="145" t="str">
        <f t="shared" si="19"/>
        <v/>
      </c>
    </row>
    <row r="98" spans="1:11" x14ac:dyDescent="0.3">
      <c r="A98" s="106" t="str">
        <f>IF(A97="","",IF(A97=MAX(LL[Day 0]),"",A97+1))</f>
        <v/>
      </c>
      <c r="B98" t="str">
        <f>IF($A98="","",COUNTIFS(LL[Reason for Line Listing],"Case",LL[Role],B$3,LL[Day 0],$A98))</f>
        <v/>
      </c>
      <c r="C98" t="str">
        <f>IF($A98="","",COUNTIFS(LL[Reason for Line Listing],"Case",LL[Role],C$3,LL[Day 0],$A98))</f>
        <v/>
      </c>
      <c r="D98" t="str">
        <f>IF($A98="","",COUNTIFS(LL[Reason for Line Listing],"Case",LL[Role],D$3,LL[Day 0],$A98))</f>
        <v/>
      </c>
      <c r="E98" t="str">
        <f>IF($A98="","",COUNTIFS(LL[Reason for Line Listing],"Case",LL[Role],E$3,LL[Day 0],$A98))</f>
        <v/>
      </c>
      <c r="F98" t="str">
        <f>IF($A98="","",COUNTIFS(LL[Reason for Line Listing],"Case",LL[Role],F$3,LL[Day 0],$A98))</f>
        <v/>
      </c>
      <c r="G98" t="str">
        <f>IF($A98="","",COUNTIFS(LL[Reason for Line Listing],"Case",LL[Role],G$3,LL[Day 0],$A98))</f>
        <v/>
      </c>
      <c r="H98" t="str">
        <f>IF($A98="","",COUNTIFS(LL[Reason for Line Listing],"Case",LL[Role],H$3,LL[Day 0],$A98))</f>
        <v/>
      </c>
      <c r="I98" t="str">
        <f>IF($A98="","",COUNTIFS(LL[Reason for Line Listing],"Case",LL[Role],I$3,LL[Day 0],$A98))</f>
        <v/>
      </c>
      <c r="J98" t="str">
        <f>IF($A98="","",COUNTIFS(LL[Reason for Line Listing],"Case",LL[Role],J$3,LL[Day 0],$A98))</f>
        <v/>
      </c>
      <c r="K98" s="145" t="str">
        <f t="shared" si="19"/>
        <v/>
      </c>
    </row>
    <row r="99" spans="1:11" x14ac:dyDescent="0.3">
      <c r="A99" s="106" t="str">
        <f>IF(A98="","",IF(A98=MAX(LL[Day 0]),"",A98+1))</f>
        <v/>
      </c>
      <c r="B99" t="str">
        <f>IF($A99="","",COUNTIFS(LL[Reason for Line Listing],"Case",LL[Role],B$3,LL[Day 0],$A99))</f>
        <v/>
      </c>
      <c r="C99" t="str">
        <f>IF($A99="","",COUNTIFS(LL[Reason for Line Listing],"Case",LL[Role],C$3,LL[Day 0],$A99))</f>
        <v/>
      </c>
      <c r="D99" t="str">
        <f>IF($A99="","",COUNTIFS(LL[Reason for Line Listing],"Case",LL[Role],D$3,LL[Day 0],$A99))</f>
        <v/>
      </c>
      <c r="E99" t="str">
        <f>IF($A99="","",COUNTIFS(LL[Reason for Line Listing],"Case",LL[Role],E$3,LL[Day 0],$A99))</f>
        <v/>
      </c>
      <c r="F99" t="str">
        <f>IF($A99="","",COUNTIFS(LL[Reason for Line Listing],"Case",LL[Role],F$3,LL[Day 0],$A99))</f>
        <v/>
      </c>
      <c r="G99" t="str">
        <f>IF($A99="","",COUNTIFS(LL[Reason for Line Listing],"Case",LL[Role],G$3,LL[Day 0],$A99))</f>
        <v/>
      </c>
      <c r="H99" t="str">
        <f>IF($A99="","",COUNTIFS(LL[Reason for Line Listing],"Case",LL[Role],H$3,LL[Day 0],$A99))</f>
        <v/>
      </c>
      <c r="I99" t="str">
        <f>IF($A99="","",COUNTIFS(LL[Reason for Line Listing],"Case",LL[Role],I$3,LL[Day 0],$A99))</f>
        <v/>
      </c>
      <c r="J99" t="str">
        <f>IF($A99="","",COUNTIFS(LL[Reason for Line Listing],"Case",LL[Role],J$3,LL[Day 0],$A99))</f>
        <v/>
      </c>
      <c r="K99" s="145" t="str">
        <f t="shared" si="19"/>
        <v/>
      </c>
    </row>
    <row r="100" spans="1:11" x14ac:dyDescent="0.3">
      <c r="A100" s="106" t="str">
        <f>IF(A99="","",IF(A99=MAX(LL[Day 0]),"",A99+1))</f>
        <v/>
      </c>
      <c r="B100" t="str">
        <f>IF($A100="","",COUNTIFS(LL[Reason for Line Listing],"Case",LL[Role],B$3,LL[Day 0],$A100))</f>
        <v/>
      </c>
      <c r="C100" t="str">
        <f>IF($A100="","",COUNTIFS(LL[Reason for Line Listing],"Case",LL[Role],C$3,LL[Day 0],$A100))</f>
        <v/>
      </c>
      <c r="D100" t="str">
        <f>IF($A100="","",COUNTIFS(LL[Reason for Line Listing],"Case",LL[Role],D$3,LL[Day 0],$A100))</f>
        <v/>
      </c>
      <c r="E100" t="str">
        <f>IF($A100="","",COUNTIFS(LL[Reason for Line Listing],"Case",LL[Role],E$3,LL[Day 0],$A100))</f>
        <v/>
      </c>
      <c r="F100" t="str">
        <f>IF($A100="","",COUNTIFS(LL[Reason for Line Listing],"Case",LL[Role],F$3,LL[Day 0],$A100))</f>
        <v/>
      </c>
      <c r="G100" t="str">
        <f>IF($A100="","",COUNTIFS(LL[Reason for Line Listing],"Case",LL[Role],G$3,LL[Day 0],$A100))</f>
        <v/>
      </c>
      <c r="H100" t="str">
        <f>IF($A100="","",COUNTIFS(LL[Reason for Line Listing],"Case",LL[Role],H$3,LL[Day 0],$A100))</f>
        <v/>
      </c>
      <c r="I100" t="str">
        <f>IF($A100="","",COUNTIFS(LL[Reason for Line Listing],"Case",LL[Role],I$3,LL[Day 0],$A100))</f>
        <v/>
      </c>
      <c r="J100" t="str">
        <f>IF($A100="","",COUNTIFS(LL[Reason for Line Listing],"Case",LL[Role],J$3,LL[Day 0],$A100))</f>
        <v/>
      </c>
      <c r="K100" s="145" t="str">
        <f t="shared" si="19"/>
        <v/>
      </c>
    </row>
    <row r="101" spans="1:11" x14ac:dyDescent="0.3">
      <c r="A101" s="106" t="str">
        <f>IF(A100="","",IF(A100=MAX(LL[Day 0]),"",A100+1))</f>
        <v/>
      </c>
      <c r="B101" t="str">
        <f>IF($A101="","",COUNTIFS(LL[Reason for Line Listing],"Case",LL[Role],B$3,LL[Day 0],$A101))</f>
        <v/>
      </c>
      <c r="C101" t="str">
        <f>IF($A101="","",COUNTIFS(LL[Reason for Line Listing],"Case",LL[Role],C$3,LL[Day 0],$A101))</f>
        <v/>
      </c>
      <c r="D101" t="str">
        <f>IF($A101="","",COUNTIFS(LL[Reason for Line Listing],"Case",LL[Role],D$3,LL[Day 0],$A101))</f>
        <v/>
      </c>
      <c r="E101" t="str">
        <f>IF($A101="","",COUNTIFS(LL[Reason for Line Listing],"Case",LL[Role],E$3,LL[Day 0],$A101))</f>
        <v/>
      </c>
      <c r="F101" t="str">
        <f>IF($A101="","",COUNTIFS(LL[Reason for Line Listing],"Case",LL[Role],F$3,LL[Day 0],$A101))</f>
        <v/>
      </c>
      <c r="G101" t="str">
        <f>IF($A101="","",COUNTIFS(LL[Reason for Line Listing],"Case",LL[Role],G$3,LL[Day 0],$A101))</f>
        <v/>
      </c>
      <c r="H101" t="str">
        <f>IF($A101="","",COUNTIFS(LL[Reason for Line Listing],"Case",LL[Role],H$3,LL[Day 0],$A101))</f>
        <v/>
      </c>
      <c r="I101" t="str">
        <f>IF($A101="","",COUNTIFS(LL[Reason for Line Listing],"Case",LL[Role],I$3,LL[Day 0],$A101))</f>
        <v/>
      </c>
      <c r="J101" t="str">
        <f>IF($A101="","",COUNTIFS(LL[Reason for Line Listing],"Case",LL[Role],J$3,LL[Day 0],$A101))</f>
        <v/>
      </c>
      <c r="K101" s="145" t="str">
        <f t="shared" si="19"/>
        <v/>
      </c>
    </row>
    <row r="102" spans="1:11" x14ac:dyDescent="0.3">
      <c r="A102" s="106" t="str">
        <f>IF(A101="","",IF(A101=MAX(LL[Day 0]),"",A101+1))</f>
        <v/>
      </c>
      <c r="B102" t="str">
        <f>IF($A102="","",COUNTIFS(LL[Reason for Line Listing],"Case",LL[Role],B$3,LL[Day 0],$A102))</f>
        <v/>
      </c>
      <c r="C102" t="str">
        <f>IF($A102="","",COUNTIFS(LL[Reason for Line Listing],"Case",LL[Role],C$3,LL[Day 0],$A102))</f>
        <v/>
      </c>
      <c r="D102" t="str">
        <f>IF($A102="","",COUNTIFS(LL[Reason for Line Listing],"Case",LL[Role],D$3,LL[Day 0],$A102))</f>
        <v/>
      </c>
      <c r="E102" t="str">
        <f>IF($A102="","",COUNTIFS(LL[Reason for Line Listing],"Case",LL[Role],E$3,LL[Day 0],$A102))</f>
        <v/>
      </c>
      <c r="F102" t="str">
        <f>IF($A102="","",COUNTIFS(LL[Reason for Line Listing],"Case",LL[Role],F$3,LL[Day 0],$A102))</f>
        <v/>
      </c>
      <c r="G102" t="str">
        <f>IF($A102="","",COUNTIFS(LL[Reason for Line Listing],"Case",LL[Role],G$3,LL[Day 0],$A102))</f>
        <v/>
      </c>
      <c r="H102" t="str">
        <f>IF($A102="","",COUNTIFS(LL[Reason for Line Listing],"Case",LL[Role],H$3,LL[Day 0],$A102))</f>
        <v/>
      </c>
      <c r="I102" t="str">
        <f>IF($A102="","",COUNTIFS(LL[Reason for Line Listing],"Case",LL[Role],I$3,LL[Day 0],$A102))</f>
        <v/>
      </c>
      <c r="J102" t="str">
        <f>IF($A102="","",COUNTIFS(LL[Reason for Line Listing],"Case",LL[Role],J$3,LL[Day 0],$A102))</f>
        <v/>
      </c>
      <c r="K102" s="145" t="str">
        <f t="shared" si="19"/>
        <v/>
      </c>
    </row>
    <row r="103" spans="1:11" x14ac:dyDescent="0.3">
      <c r="A103" s="106" t="str">
        <f>IF(A102="","",IF(A102=MAX(LL[Day 0]),"",A102+1))</f>
        <v/>
      </c>
      <c r="B103" t="str">
        <f>IF($A103="","",COUNTIFS(LL[Reason for Line Listing],"Case",LL[Role],B$3,LL[Day 0],$A103))</f>
        <v/>
      </c>
      <c r="C103" t="str">
        <f>IF($A103="","",COUNTIFS(LL[Reason for Line Listing],"Case",LL[Role],C$3,LL[Day 0],$A103))</f>
        <v/>
      </c>
      <c r="D103" t="str">
        <f>IF($A103="","",COUNTIFS(LL[Reason for Line Listing],"Case",LL[Role],D$3,LL[Day 0],$A103))</f>
        <v/>
      </c>
      <c r="E103" t="str">
        <f>IF($A103="","",COUNTIFS(LL[Reason for Line Listing],"Case",LL[Role],E$3,LL[Day 0],$A103))</f>
        <v/>
      </c>
      <c r="F103" t="str">
        <f>IF($A103="","",COUNTIFS(LL[Reason for Line Listing],"Case",LL[Role],F$3,LL[Day 0],$A103))</f>
        <v/>
      </c>
      <c r="G103" t="str">
        <f>IF($A103="","",COUNTIFS(LL[Reason for Line Listing],"Case",LL[Role],G$3,LL[Day 0],$A103))</f>
        <v/>
      </c>
      <c r="H103" t="str">
        <f>IF($A103="","",COUNTIFS(LL[Reason for Line Listing],"Case",LL[Role],H$3,LL[Day 0],$A103))</f>
        <v/>
      </c>
      <c r="I103" t="str">
        <f>IF($A103="","",COUNTIFS(LL[Reason for Line Listing],"Case",LL[Role],I$3,LL[Day 0],$A103))</f>
        <v/>
      </c>
      <c r="J103" t="str">
        <f>IF($A103="","",COUNTIFS(LL[Reason for Line Listing],"Case",LL[Role],J$3,LL[Day 0],$A103))</f>
        <v/>
      </c>
      <c r="K103" s="145" t="str">
        <f t="shared" si="19"/>
        <v/>
      </c>
    </row>
    <row r="104" spans="1:11" x14ac:dyDescent="0.3">
      <c r="A104" s="106" t="str">
        <f>IF(A103="","",IF(A103=MAX(LL[Day 0]),"",A103+1))</f>
        <v/>
      </c>
      <c r="B104" t="str">
        <f>IF($A104="","",COUNTIFS(LL[Reason for Line Listing],"Case",LL[Role],B$3,LL[Day 0],$A104))</f>
        <v/>
      </c>
      <c r="C104" t="str">
        <f>IF($A104="","",COUNTIFS(LL[Reason for Line Listing],"Case",LL[Role],C$3,LL[Day 0],$A104))</f>
        <v/>
      </c>
      <c r="D104" t="str">
        <f>IF($A104="","",COUNTIFS(LL[Reason for Line Listing],"Case",LL[Role],D$3,LL[Day 0],$A104))</f>
        <v/>
      </c>
      <c r="E104" t="str">
        <f>IF($A104="","",COUNTIFS(LL[Reason for Line Listing],"Case",LL[Role],E$3,LL[Day 0],$A104))</f>
        <v/>
      </c>
      <c r="F104" t="str">
        <f>IF($A104="","",COUNTIFS(LL[Reason for Line Listing],"Case",LL[Role],F$3,LL[Day 0],$A104))</f>
        <v/>
      </c>
      <c r="G104" t="str">
        <f>IF($A104="","",COUNTIFS(LL[Reason for Line Listing],"Case",LL[Role],G$3,LL[Day 0],$A104))</f>
        <v/>
      </c>
      <c r="H104" t="str">
        <f>IF($A104="","",COUNTIFS(LL[Reason for Line Listing],"Case",LL[Role],H$3,LL[Day 0],$A104))</f>
        <v/>
      </c>
      <c r="I104" t="str">
        <f>IF($A104="","",COUNTIFS(LL[Reason for Line Listing],"Case",LL[Role],I$3,LL[Day 0],$A104))</f>
        <v/>
      </c>
      <c r="J104" t="str">
        <f>IF($A104="","",COUNTIFS(LL[Reason for Line Listing],"Case",LL[Role],J$3,LL[Day 0],$A104))</f>
        <v/>
      </c>
      <c r="K104" s="145" t="str">
        <f t="shared" si="19"/>
        <v/>
      </c>
    </row>
    <row r="105" spans="1:11" x14ac:dyDescent="0.3">
      <c r="A105" s="106" t="str">
        <f>IF(A104="","",IF(A104=MAX(LL[Day 0]),"",A104+1))</f>
        <v/>
      </c>
      <c r="B105" t="str">
        <f>IF($A105="","",COUNTIFS(LL[Reason for Line Listing],"Case",LL[Role],B$3,LL[Day 0],$A105))</f>
        <v/>
      </c>
      <c r="C105" t="str">
        <f>IF($A105="","",COUNTIFS(LL[Reason for Line Listing],"Case",LL[Role],C$3,LL[Day 0],$A105))</f>
        <v/>
      </c>
      <c r="D105" t="str">
        <f>IF($A105="","",COUNTIFS(LL[Reason for Line Listing],"Case",LL[Role],D$3,LL[Day 0],$A105))</f>
        <v/>
      </c>
      <c r="E105" t="str">
        <f>IF($A105="","",COUNTIFS(LL[Reason for Line Listing],"Case",LL[Role],E$3,LL[Day 0],$A105))</f>
        <v/>
      </c>
      <c r="F105" t="str">
        <f>IF($A105="","",COUNTIFS(LL[Reason for Line Listing],"Case",LL[Role],F$3,LL[Day 0],$A105))</f>
        <v/>
      </c>
      <c r="G105" t="str">
        <f>IF($A105="","",COUNTIFS(LL[Reason for Line Listing],"Case",LL[Role],G$3,LL[Day 0],$A105))</f>
        <v/>
      </c>
      <c r="H105" t="str">
        <f>IF($A105="","",COUNTIFS(LL[Reason for Line Listing],"Case",LL[Role],H$3,LL[Day 0],$A105))</f>
        <v/>
      </c>
      <c r="I105" t="str">
        <f>IF($A105="","",COUNTIFS(LL[Reason for Line Listing],"Case",LL[Role],I$3,LL[Day 0],$A105))</f>
        <v/>
      </c>
      <c r="J105" t="str">
        <f>IF($A105="","",COUNTIFS(LL[Reason for Line Listing],"Case",LL[Role],J$3,LL[Day 0],$A105))</f>
        <v/>
      </c>
      <c r="K105" s="145" t="str">
        <f t="shared" si="19"/>
        <v/>
      </c>
    </row>
    <row r="106" spans="1:11" x14ac:dyDescent="0.3">
      <c r="A106" s="106" t="str">
        <f>IF(A105="","",IF(A105=MAX(LL[Day 0]),"",A105+1))</f>
        <v/>
      </c>
      <c r="B106" t="str">
        <f>IF($A106="","",COUNTIFS(LL[Reason for Line Listing],"Case",LL[Role],B$3,LL[Day 0],$A106))</f>
        <v/>
      </c>
      <c r="C106" t="str">
        <f>IF($A106="","",COUNTIFS(LL[Reason for Line Listing],"Case",LL[Role],C$3,LL[Day 0],$A106))</f>
        <v/>
      </c>
      <c r="D106" t="str">
        <f>IF($A106="","",COUNTIFS(LL[Reason for Line Listing],"Case",LL[Role],D$3,LL[Day 0],$A106))</f>
        <v/>
      </c>
      <c r="E106" t="str">
        <f>IF($A106="","",COUNTIFS(LL[Reason for Line Listing],"Case",LL[Role],E$3,LL[Day 0],$A106))</f>
        <v/>
      </c>
      <c r="F106" t="str">
        <f>IF($A106="","",COUNTIFS(LL[Reason for Line Listing],"Case",LL[Role],F$3,LL[Day 0],$A106))</f>
        <v/>
      </c>
      <c r="G106" t="str">
        <f>IF($A106="","",COUNTIFS(LL[Reason for Line Listing],"Case",LL[Role],G$3,LL[Day 0],$A106))</f>
        <v/>
      </c>
      <c r="H106" t="str">
        <f>IF($A106="","",COUNTIFS(LL[Reason for Line Listing],"Case",LL[Role],H$3,LL[Day 0],$A106))</f>
        <v/>
      </c>
      <c r="I106" t="str">
        <f>IF($A106="","",COUNTIFS(LL[Reason for Line Listing],"Case",LL[Role],I$3,LL[Day 0],$A106))</f>
        <v/>
      </c>
      <c r="J106" t="str">
        <f>IF($A106="","",COUNTIFS(LL[Reason for Line Listing],"Case",LL[Role],J$3,LL[Day 0],$A106))</f>
        <v/>
      </c>
      <c r="K106" s="145" t="str">
        <f t="shared" si="19"/>
        <v/>
      </c>
    </row>
  </sheetData>
  <conditionalFormatting sqref="O46:O62">
    <cfRule type="dataBar" priority="5">
      <dataBar>
        <cfvo type="num" val="0"/>
        <cfvo type="num" val="1"/>
        <color theme="4"/>
      </dataBar>
      <extLst>
        <ext xmlns:x14="http://schemas.microsoft.com/office/spreadsheetml/2009/9/main" uri="{B025F937-C7B1-47D3-B67F-A62EFF666E3E}">
          <x14:id>{A86AF73E-2AB2-4B05-A8A4-720F6720CAFF}</x14:id>
        </ext>
      </extLst>
    </cfRule>
  </conditionalFormatting>
  <conditionalFormatting sqref="AC7:AM29">
    <cfRule type="expression" dxfId="3" priority="4">
      <formula>$AC7&lt;&gt;""</formula>
    </cfRule>
  </conditionalFormatting>
  <conditionalFormatting sqref="AD7:AG29">
    <cfRule type="expression" dxfId="2" priority="3">
      <formula>AC7&lt;&gt;""</formula>
    </cfRule>
  </conditionalFormatting>
  <conditionalFormatting sqref="AH7:AJ29">
    <cfRule type="expression" dxfId="1" priority="2">
      <formula>AH7&lt;&gt;""</formula>
    </cfRule>
  </conditionalFormatting>
  <conditionalFormatting sqref="AK7:AM29">
    <cfRule type="expression" dxfId="0" priority="1">
      <formula>AK7&lt;&gt;""</formula>
    </cfRule>
  </conditionalFormatting>
  <pageMargins left="0.7" right="0.7" top="0.75" bottom="0.75" header="0.3" footer="0.3"/>
  <pageSetup orientation="portrait" r:id="rId1"/>
  <ignoredErrors>
    <ignoredError sqref="AC8 AC9:AC29 AV13:AV34 AU13:AU34"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A86AF73E-2AB2-4B05-A8A4-720F6720CAFF}">
            <x14:dataBar minLength="0" maxLength="100" border="1" negativeBarColorSameAsPositive="1">
              <x14:cfvo type="num">
                <xm:f>0</xm:f>
              </x14:cfvo>
              <x14:cfvo type="num">
                <xm:f>1</xm:f>
              </x14:cfvo>
              <x14:borderColor theme="4"/>
              <x14:axisColor theme="4" tint="-0.249977111117893"/>
            </x14:dataBar>
          </x14:cfRule>
          <xm:sqref>O46:O62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CWRMItemRecordCategory xmlns="23a7b7c4-2425-4b90-bda5-b990a11b1754">CL01</CWRMItemRecordCategory>
    <f323e73acfc8459e8ff83f3b2ee6944a xmlns="1bfa0af9-9ac9-4b51-8ade-5c105135c4b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81d28fdf-732b-4ed1-b198-fde72d06308e</TermId>
        </TermInfo>
      </Terms>
    </f323e73acfc8459e8ff83f3b2ee6944a>
    <CWRMItemRecordState xmlns="23a7b7c4-2425-4b90-bda5-b990a11b1754">Potential</CWRMItemRecordState>
    <Cc xmlns="1bfa0af9-9ac9-4b51-8ade-5c105135c4b4" xsi:nil="true"/>
    <kee7b7caa3ea449dbd889f35b480d01b xmlns="1bfa0af9-9ac9-4b51-8ade-5c105135c4b4">
      <Terms xmlns="http://schemas.microsoft.com/office/infopath/2007/PartnerControls"/>
    </kee7b7caa3ea449dbd889f35b480d01b>
    <From1 xmlns="1bfa0af9-9ac9-4b51-8ade-5c105135c4b4" xsi:nil="true"/>
    <Sent-UTC xmlns="1bfa0af9-9ac9-4b51-8ade-5c105135c4b4" xsi:nil="true"/>
    <Subject-Colligo xmlns="1bfa0af9-9ac9-4b51-8ade-5c105135c4b4" xsi:nil="true"/>
    <CWRMItemRecordDeclaredDate xmlns="23a7b7c4-2425-4b90-bda5-b990a11b1754" xsi:nil="true"/>
    <Expiry_x0020_Date xmlns="1bfa0af9-9ac9-4b51-8ade-5c105135c4b4" xsi:nil="true"/>
    <_dlc_DocId xmlns="1bfa0af9-9ac9-4b51-8ade-5c105135c4b4">000000PEGY</_dlc_DocId>
    <n2ec714ed7cd4fd5b267f284d800cb45 xmlns="1bfa0af9-9ac9-4b51-8ade-5c105135c4b4">
      <Terms xmlns="http://schemas.microsoft.com/office/infopath/2007/PartnerControls">
        <TermInfo xmlns="http://schemas.microsoft.com/office/infopath/2007/PartnerControls">
          <TermName xmlns="http://schemas.microsoft.com/office/infopath/2007/PartnerControls">Health Protection</TermName>
          <TermId xmlns="http://schemas.microsoft.com/office/infopath/2007/PartnerControls">36894b41-6f36-4a21-88ab-9f60829aa06a</TermId>
        </TermInfo>
      </Terms>
    </n2ec714ed7cd4fd5b267f284d800cb45>
    <CWRMItemRecordClassificationTaxHTField0 xmlns="23a7b7c4-2425-4b90-bda5-b990a11b1754">
      <Terms xmlns="http://schemas.microsoft.com/office/infopath/2007/PartnerControls">
        <TermInfo xmlns="http://schemas.microsoft.com/office/infopath/2007/PartnerControls">
          <TermName xmlns="http://schemas.microsoft.com/office/infopath/2007/PartnerControls">Outbreaks</TermName>
          <TermId xmlns="http://schemas.microsoft.com/office/infopath/2007/PartnerControls">815464f7-df55-43ff-b541-900d46ba7f06</TermId>
        </TermInfo>
      </Terms>
    </CWRMItemRecordClassificationTaxHTField0>
    <TaxCatchAll xmlns="1bfa0af9-9ac9-4b51-8ade-5c105135c4b4">
      <Value>4372</Value>
      <Value>119</Value>
      <Value>1</Value>
      <Value>2107</Value>
    </TaxCatchAll>
    <CWRMItemRecordVital xmlns="23a7b7c4-2425-4b90-bda5-b990a11b1754" xsi:nil="true"/>
    <l47e3f044f9a4df4a7582916cb983551 xmlns="1bfa0af9-9ac9-4b51-8ade-5c105135c4b4">
      <Terms xmlns="http://schemas.microsoft.com/office/infopath/2007/PartnerControls">
        <TermInfo xmlns="http://schemas.microsoft.com/office/infopath/2007/PartnerControls">
          <TermName xmlns="http://schemas.microsoft.com/office/infopath/2007/PartnerControls">Health Protection</TermName>
          <TermId xmlns="http://schemas.microsoft.com/office/infopath/2007/PartnerControls">36894b41-6f36-4a21-88ab-9f60829aa06a</TermId>
        </TermInfo>
      </Terms>
    </l47e3f044f9a4df4a7582916cb983551>
    <From-Address xmlns="1bfa0af9-9ac9-4b51-8ade-5c105135c4b4" xsi:nil="true"/>
    <Approval_x0020_Date xmlns="1bfa0af9-9ac9-4b51-8ade-5c105135c4b4" xsi:nil="true"/>
    <From-Type xmlns="1bfa0af9-9ac9-4b51-8ade-5c105135c4b4" xsi:nil="true"/>
    <Bcc-Type xmlns="1bfa0af9-9ac9-4b51-8ade-5c105135c4b4" xsi:nil="true"/>
    <_vti_ItemDeclaredRecord xmlns="http://schemas.microsoft.com/sharepoint/v3" xsi:nil="true"/>
    <_vti_ItemHoldRecordStatus xmlns="http://schemas.microsoft.com/sharepoint/v3" xsi:nil="true"/>
    <CWRMItemRecordStatus xmlns="23a7b7c4-2425-4b90-bda5-b990a11b1754" xsi:nil="true"/>
    <Cycle_x0020_or_x0020_Term xmlns="1bfa0af9-9ac9-4b51-8ade-5c105135c4b4">General</Cycle_x0020_or_x0020_Term>
    <To-Type xmlns="1bfa0af9-9ac9-4b51-8ade-5c105135c4b4" xsi:nil="true"/>
    <To xmlns="1bfa0af9-9ac9-4b51-8ade-5c105135c4b4" xsi:nil="true"/>
    <Email_x0020_Categories xmlns="1bfa0af9-9ac9-4b51-8ade-5c105135c4b4" xsi:nil="true"/>
    <Sent xmlns="1bfa0af9-9ac9-4b51-8ade-5c105135c4b4" xsi:nil="true"/>
    <CWRMItemRecordData xmlns="23a7b7c4-2425-4b90-bda5-b990a11b1754">&lt;?xml version="1.0" encoding="utf-16"?&gt;&lt;RecordData xmlns:xsd="http://www.w3.org/2001/XMLSchema" xmlns:xsi="http://www.w3.org/2001/XMLSchema-instance" CurrentCategoryId="95ce11e3-3ec3-4dc3-a6ff-217b045dcaab" CurrentPolicyId="6db12a5e-d640-4dcd-bf12-0ad27a9629c8" CurrentStageId="00000000-0000-0000-0000-000000000000" ExecuteStageImmediately="false" IsMovingPhysical="false" IsProcessing="false" OriginalCreatedDate="0001-01-01T00:00:00" OriginalModifiedDate="0001-01-01T00:00:00" ObsoleteDate="0001-01-01T00:00:00" ForceCrawl="false" DocumentSetSyncCount="0"&gt;&lt;LastProcessedStageId&gt;00000000-0000-0000-0000-000000000000&lt;/LastProcessedStageId&gt;&lt;LastProcessedDateValue xsi:type="xsd:dateTime"&gt;0001-01-01T00:00:00&lt;/LastProcessedDateValue&gt;&lt;/RecordData&gt;</CWRMItemRecordData>
    <IconOverlay xmlns="http://schemas.microsoft.com/sharepoint/v4" xsi:nil="true"/>
    <Attachment1 xmlns="1bfa0af9-9ac9-4b51-8ade-5c105135c4b4">false</Attachment1>
    <f7a79e356c724ab0aaac334b78c0a8a1 xmlns="1bfa0af9-9ac9-4b51-8ade-5c105135c4b4">
      <Terms xmlns="http://schemas.microsoft.com/office/infopath/2007/PartnerControls"/>
    </f7a79e356c724ab0aaac334b78c0a8a1>
    <Bcc xmlns="1bfa0af9-9ac9-4b51-8ade-5c105135c4b4" xsi:nil="true"/>
    <Importance xmlns="1bfa0af9-9ac9-4b51-8ade-5c105135c4b4" xsi:nil="true"/>
    <Bcc-Address xmlns="1bfa0af9-9ac9-4b51-8ade-5c105135c4b4" xsi:nil="true"/>
    <Cc-Address xmlns="1bfa0af9-9ac9-4b51-8ade-5c105135c4b4" xsi:nil="true"/>
    <b65c075dc1d24ff1878988087dfdea72 xmlns="1bfa0af9-9ac9-4b51-8ade-5c105135c4b4">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3170e4b8-b897-487c-b6c0-96cd443ff338</TermId>
        </TermInfo>
      </Terms>
    </b65c075dc1d24ff1878988087dfdea72>
    <Received xmlns="1bfa0af9-9ac9-4b51-8ade-5c105135c4b4" xsi:nil="true"/>
    <Cc-Type xmlns="1bfa0af9-9ac9-4b51-8ade-5c105135c4b4" xsi:nil="true"/>
    <_dlc_DocIdUrl xmlns="1bfa0af9-9ac9-4b51-8ade-5c105135c4b4">
      <Url>https://sp2013/sites/SDHU/outbreaks/_layouts/15/DocIdRedir.aspx?ID=000000PEGY</Url>
      <Description>000000PEGY</Description>
    </_dlc_DocIdUrl>
    <To-Address xmlns="1bfa0af9-9ac9-4b51-8ade-5c105135c4b4" xsi:nil="true"/>
    <Conversation xmlns="1bfa0af9-9ac9-4b51-8ade-5c105135c4b4" xsi:nil="true"/>
    <la8f40328fe54900b785a8eb2d16e05e xmlns="1bfa0af9-9ac9-4b51-8ade-5c105135c4b4">
      <Terms xmlns="http://schemas.microsoft.com/office/infopath/2007/PartnerControls"/>
    </la8f40328fe54900b785a8eb2d16e05e>
    <CWRMItemUniqueId xmlns="23a7b7c4-2425-4b90-bda5-b990a11b1754">000000PEGY</CWRMItemUniqueId>
    <Received-UTC xmlns="1bfa0af9-9ac9-4b51-8ade-5c105135c4b4" xsi:nil="true"/>
    <Case_x0020_ID xmlns="1bfa0af9-9ac9-4b51-8ade-5c105135c4b4">Templates</Case_x0020_ID>
    <Sensitivity xmlns="1bfa0af9-9ac9-4b51-8ade-5c105135c4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ase or Incident External" ma:contentTypeID="0x010100F382F9BFB399FD4699E65B7221A51A4402070085BDEECD0EAE414992FFACA2940D2D45" ma:contentTypeVersion="57" ma:contentTypeDescription="" ma:contentTypeScope="" ma:versionID="4cd0c42257c2f54e586465f47e819f6e">
  <xsd:schema xmlns:xsd="http://www.w3.org/2001/XMLSchema" xmlns:xs="http://www.w3.org/2001/XMLSchema" xmlns:p="http://schemas.microsoft.com/office/2006/metadata/properties" xmlns:ns1="http://schemas.microsoft.com/sharepoint/v3" xmlns:ns2="1bfa0af9-9ac9-4b51-8ade-5c105135c4b4" xmlns:ns3="23a7b7c4-2425-4b90-bda5-b990a11b1754" xmlns:ns4="http://schemas.microsoft.com/sharepoint/v4" targetNamespace="http://schemas.microsoft.com/office/2006/metadata/properties" ma:root="true" ma:fieldsID="1a9210f22999675fd79392ec44de48d9" ns1:_="" ns2:_="" ns3:_="" ns4:_="">
    <xsd:import namespace="http://schemas.microsoft.com/sharepoint/v3"/>
    <xsd:import namespace="1bfa0af9-9ac9-4b51-8ade-5c105135c4b4"/>
    <xsd:import namespace="23a7b7c4-2425-4b90-bda5-b990a11b175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CWRMItemUniqueId" minOccurs="0"/>
                <xsd:element ref="ns3:CWRMItemRecordState" minOccurs="0"/>
                <xsd:element ref="ns3:CWRMItemRecordCategory" minOccurs="0"/>
                <xsd:element ref="ns3:CWRMItemRecordClassificationTaxHTField0" minOccurs="0"/>
                <xsd:element ref="ns2:TaxCatchAll" minOccurs="0"/>
                <xsd:element ref="ns2:TaxCatchAllLabel" minOccurs="0"/>
                <xsd:element ref="ns3:CWRMItemRecordStatus" minOccurs="0"/>
                <xsd:element ref="ns3:CWRMItemRecordDeclaredDate" minOccurs="0"/>
                <xsd:element ref="ns3:CWRMItemRecordVital" minOccurs="0"/>
                <xsd:element ref="ns3:CWRMItemRecordData" minOccurs="0"/>
                <xsd:element ref="ns2:b65c075dc1d24ff1878988087dfdea72" minOccurs="0"/>
                <xsd:element ref="ns2:f7a79e356c724ab0aaac334b78c0a8a1" minOccurs="0"/>
                <xsd:element ref="ns2:f323e73acfc8459e8ff83f3b2ee6944a" minOccurs="0"/>
                <xsd:element ref="ns2:n2ec714ed7cd4fd5b267f284d800cb45" minOccurs="0"/>
                <xsd:element ref="ns2:Bcc" minOccurs="0"/>
                <xsd:element ref="ns2:Bcc-Address" minOccurs="0"/>
                <xsd:element ref="ns2:Bcc-Type" minOccurs="0"/>
                <xsd:element ref="ns2:Cc" minOccurs="0"/>
                <xsd:element ref="ns2:Cc-Address" minOccurs="0"/>
                <xsd:element ref="ns2:Cc-Type" minOccurs="0"/>
                <xsd:element ref="ns2:Conversation" minOccurs="0"/>
                <xsd:element ref="ns2:Email_x0020_Categories" minOccurs="0"/>
                <xsd:element ref="ns2:Subject-Colligo" minOccurs="0"/>
                <xsd:element ref="ns2:From1" minOccurs="0"/>
                <xsd:element ref="ns2:From-Address" minOccurs="0"/>
                <xsd:element ref="ns2:From-Type" minOccurs="0"/>
                <xsd:element ref="ns2:Importance" minOccurs="0"/>
                <xsd:element ref="ns2:Received" minOccurs="0"/>
                <xsd:element ref="ns2:Received-UTC" minOccurs="0"/>
                <xsd:element ref="ns2:Sensitivity" minOccurs="0"/>
                <xsd:element ref="ns2:Sent" minOccurs="0"/>
                <xsd:element ref="ns2:Sent-UTC" minOccurs="0"/>
                <xsd:element ref="ns2:To" minOccurs="0"/>
                <xsd:element ref="ns2:To-Address" minOccurs="0"/>
                <xsd:element ref="ns2:To-Type" minOccurs="0"/>
                <xsd:element ref="ns2:Attachment1" minOccurs="0"/>
                <xsd:element ref="ns2:kee7b7caa3ea449dbd889f35b480d01b" minOccurs="0"/>
                <xsd:element ref="ns2:l47e3f044f9a4df4a7582916cb983551" minOccurs="0"/>
                <xsd:element ref="ns2:Expiry_x0020_Date" minOccurs="0"/>
                <xsd:element ref="ns2:Approval_x0020_Date" minOccurs="0"/>
                <xsd:element ref="ns2:Case_x0020_ID" minOccurs="0"/>
                <xsd:element ref="ns2:Cycle_x0020_or_x0020_Term" minOccurs="0"/>
                <xsd:element ref="ns2:la8f40328fe54900b785a8eb2d16e05e" minOccurs="0"/>
                <xsd:element ref="ns1:Email_x0020_Subject" minOccurs="0"/>
                <xsd:element ref="ns1:Email_x0020_From" minOccurs="0"/>
                <xsd:element ref="ns1:Email_x0020_To" minOccurs="0"/>
                <xsd:element ref="ns1:Email_x0020_CC" minOccurs="0"/>
                <xsd:element ref="ns1:Email_x0020_Importance" minOccurs="0"/>
                <xsd:element ref="ns1:Email_x0020_Received_x0020_Date" minOccurs="0"/>
                <xsd:element ref="ns1:Email_x0020_Sent_x0020_Date" minOccurs="0"/>
                <xsd:element ref="ns1:Email_x0020_Thread_x0020_ID" minOccurs="0"/>
                <xsd:element ref="ns1:Email_x0020_Thread" minOccurs="0"/>
                <xsd:element ref="ns1:Email_x0020_Has_x0020_Attachment" minOccurs="0"/>
                <xsd:element ref="ns4:IconOverlay" minOccurs="0"/>
                <xsd:element ref="ns1:_vti_ItemDeclaredRecord" minOccurs="0"/>
                <xsd:element ref="ns1:_vti_ItemHoldRecordStatus" minOccurs="0"/>
                <xsd:element ref="ns1:_dlc_ExpireDateSaved" minOccurs="0"/>
                <xsd:element ref="ns1:_dlc_ExpireDate"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_x0020_Subject" ma:index="62" nillable="true" ma:displayName="Email Subject" ma:internalName="Email_x0020_Subject" ma:readOnly="true">
      <xsd:simpleType>
        <xsd:restriction base="dms:Text"/>
      </xsd:simpleType>
    </xsd:element>
    <xsd:element name="Email_x0020_From" ma:index="63" nillable="true" ma:displayName="Email From" ma:internalName="Email_x0020_From" ma:readOnly="true">
      <xsd:simpleType>
        <xsd:restriction base="dms:Text"/>
      </xsd:simpleType>
    </xsd:element>
    <xsd:element name="Email_x0020_To" ma:index="64" nillable="true" ma:displayName="Email To" ma:internalName="Email_x0020_To" ma:readOnly="true">
      <xsd:simpleType>
        <xsd:restriction base="dms:Note">
          <xsd:maxLength value="255"/>
        </xsd:restriction>
      </xsd:simpleType>
    </xsd:element>
    <xsd:element name="Email_x0020_CC" ma:index="65" nillable="true" ma:displayName="Email CC" ma:internalName="Email_x0020_CC" ma:readOnly="true">
      <xsd:simpleType>
        <xsd:restriction base="dms:Note">
          <xsd:maxLength value="255"/>
        </xsd:restriction>
      </xsd:simpleType>
    </xsd:element>
    <xsd:element name="Email_x0020_Importance" ma:index="66" nillable="true" ma:displayName="Email Importance" ma:internalName="Email_x0020_Importance" ma:readOnly="true">
      <xsd:simpleType>
        <xsd:restriction base="dms:Text"/>
      </xsd:simpleType>
    </xsd:element>
    <xsd:element name="Email_x0020_Received_x0020_Date" ma:index="67" nillable="true" ma:displayName="Email Received Date" ma:internalName="Email_x0020_Received_x0020_Date" ma:readOnly="true">
      <xsd:simpleType>
        <xsd:restriction base="dms:DateTime"/>
      </xsd:simpleType>
    </xsd:element>
    <xsd:element name="Email_x0020_Sent_x0020_Date" ma:index="68" nillable="true" ma:displayName="Email Sent Date" ma:internalName="Email_x0020_Sent_x0020_Date" ma:readOnly="true">
      <xsd:simpleType>
        <xsd:restriction base="dms:DateTime"/>
      </xsd:simpleType>
    </xsd:element>
    <xsd:element name="Email_x0020_Thread_x0020_ID" ma:index="69" nillable="true" ma:displayName="Email Thread ID" ma:internalName="Email_x0020_Thread_x0020_ID" ma:readOnly="true">
      <xsd:simpleType>
        <xsd:restriction base="dms:Text"/>
      </xsd:simpleType>
    </xsd:element>
    <xsd:element name="Email_x0020_Thread" ma:index="70" nillable="true" ma:displayName="Email Thread" ma:internalName="Email_x0020_Thread" ma:readOnly="true">
      <xsd:simpleType>
        <xsd:restriction base="dms:Text"/>
      </xsd:simpleType>
    </xsd:element>
    <xsd:element name="Email_x0020_Has_x0020_Attachment" ma:index="71" nillable="true" ma:displayName="Email Has Attachment" ma:internalName="Email_x0020_Has_x0020_Attachment" ma:readOnly="true">
      <xsd:simpleType>
        <xsd:restriction base="dms:Boolean"/>
      </xsd:simpleType>
    </xsd:element>
    <xsd:element name="_vti_ItemDeclaredRecord" ma:index="73" nillable="true" ma:displayName="Declared Record" ma:hidden="true" ma:internalName="_vti_ItemDeclaredRecord" ma:readOnly="true">
      <xsd:simpleType>
        <xsd:restriction base="dms:DateTime"/>
      </xsd:simpleType>
    </xsd:element>
    <xsd:element name="_vti_ItemHoldRecordStatus" ma:index="74" nillable="true" ma:displayName="Hold and Record Status" ma:decimals="0" ma:description="" ma:hidden="true" ma:indexed="true" ma:internalName="_vti_ItemHoldRecordStatus" ma:readOnly="true">
      <xsd:simpleType>
        <xsd:restriction base="dms:Unknown"/>
      </xsd:simpleType>
    </xsd:element>
    <xsd:element name="_dlc_ExpireDateSaved" ma:index="75" nillable="true" ma:displayName="Original Expiration Date" ma:hidden="true" ma:internalName="_dlc_ExpireDateSaved" ma:readOnly="true">
      <xsd:simpleType>
        <xsd:restriction base="dms:DateTime"/>
      </xsd:simpleType>
    </xsd:element>
    <xsd:element name="_dlc_ExpireDate" ma:index="76" nillable="true" ma:displayName="Expiration Date" ma:description="" ma:hidden="true" ma:indexed="true" ma:internalName="_dlc_ExpireDate" ma:readOnly="true">
      <xsd:simpleType>
        <xsd:restriction base="dms:DateTime"/>
      </xsd:simpleType>
    </xsd:element>
    <xsd:element name="_dlc_Exempt" ma:index="77"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fa0af9-9ac9-4b51-8ade-5c105135c4b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description="" ma:hidden="true" ma:list="{82879df7-ea56-4686-8d67-914b83d6c7d0}" ma:internalName="TaxCatchAll" ma:showField="CatchAllData" ma:web="23a7b7c4-2425-4b90-bda5-b990a11b1754">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description="" ma:hidden="true" ma:list="{82879df7-ea56-4686-8d67-914b83d6c7d0}" ma:internalName="TaxCatchAllLabel" ma:readOnly="true" ma:showField="CatchAllDataLabel" ma:web="23a7b7c4-2425-4b90-bda5-b990a11b1754">
      <xsd:complexType>
        <xsd:complexContent>
          <xsd:extension base="dms:MultiChoiceLookup">
            <xsd:sequence>
              <xsd:element name="Value" type="dms:Lookup" maxOccurs="unbounded" minOccurs="0" nillable="true"/>
            </xsd:sequence>
          </xsd:extension>
        </xsd:complexContent>
      </xsd:complexType>
    </xsd:element>
    <xsd:element name="b65c075dc1d24ff1878988087dfdea72" ma:index="22" nillable="true" ma:taxonomy="true" ma:internalName="b65c075dc1d24ff1878988087dfdea72" ma:taxonomyFieldName="Document_x0020_Type" ma:displayName="Document Type" ma:readOnly="false" ma:default="" ma:fieldId="{b65c075d-c1d2-4ff1-8789-88087dfdea72}" ma:sspId="72071d1e-42f4-41cd-a76a-92fc8b7911e4" ma:termSetId="04e2155a-d361-4b92-b49c-58f113d9050c" ma:anchorId="00000000-0000-0000-0000-000000000000" ma:open="true" ma:isKeyword="false">
      <xsd:complexType>
        <xsd:sequence>
          <xsd:element ref="pc:Terms" minOccurs="0" maxOccurs="1"/>
        </xsd:sequence>
      </xsd:complexType>
    </xsd:element>
    <xsd:element name="f7a79e356c724ab0aaac334b78c0a8a1" ma:index="24" nillable="true" ma:taxonomy="true" ma:internalName="f7a79e356c724ab0aaac334b78c0a8a1" ma:taxonomyFieldName="Topics" ma:displayName="Topics" ma:readOnly="false" ma:default="" ma:fieldId="{f7a79e35-6c72-4ab0-aaac-334b78c0a8a1}" ma:taxonomyMulti="true" ma:sspId="72071d1e-42f4-41cd-a76a-92fc8b7911e4" ma:termSetId="a7e22811-ff85-4ad5-b40b-a99ae3c3dc3e" ma:anchorId="00000000-0000-0000-0000-000000000000" ma:open="true" ma:isKeyword="false">
      <xsd:complexType>
        <xsd:sequence>
          <xsd:element ref="pc:Terms" minOccurs="0" maxOccurs="1"/>
        </xsd:sequence>
      </xsd:complexType>
    </xsd:element>
    <xsd:element name="f323e73acfc8459e8ff83f3b2ee6944a" ma:index="26" nillable="true" ma:taxonomy="true" ma:internalName="f323e73acfc8459e8ff83f3b2ee6944a" ma:taxonomyFieldName="Document_x0020_Status" ma:displayName="Document Status" ma:readOnly="false" ma:default="" ma:fieldId="{f323e73a-cfc8-459e-8ff8-3f3b2ee6944a}" ma:sspId="72071d1e-42f4-41cd-a76a-92fc8b7911e4" ma:termSetId="4956eed3-6a42-43c1-b13d-84633668c858" ma:anchorId="00000000-0000-0000-0000-000000000000" ma:open="false" ma:isKeyword="false">
      <xsd:complexType>
        <xsd:sequence>
          <xsd:element ref="pc:Terms" minOccurs="0" maxOccurs="1"/>
        </xsd:sequence>
      </xsd:complexType>
    </xsd:element>
    <xsd:element name="n2ec714ed7cd4fd5b267f284d800cb45" ma:index="28" nillable="true" ma:taxonomy="true" ma:internalName="n2ec714ed7cd4fd5b267f284d800cb45" ma:taxonomyFieldName="Responsible_x0020_Service_x0020_or_x0020_Program" ma:displayName="Responsible Service or Program" ma:readOnly="false" ma:default="" ma:fieldId="{72ec714e-d7cd-4fd5-b267-f284d800cb45}" ma:sspId="72071d1e-42f4-41cd-a76a-92fc8b7911e4" ma:termSetId="3f3b56ce-d761-4423-bf69-87c911b9b678" ma:anchorId="00000000-0000-0000-0000-000000000000" ma:open="false" ma:isKeyword="false">
      <xsd:complexType>
        <xsd:sequence>
          <xsd:element ref="pc:Terms" minOccurs="0" maxOccurs="1"/>
        </xsd:sequence>
      </xsd:complexType>
    </xsd:element>
    <xsd:element name="Bcc" ma:index="30" nillable="true" ma:displayName="Bcc" ma:description="Skip this property." ma:hidden="true" ma:internalName="Bcc" ma:readOnly="false">
      <xsd:simpleType>
        <xsd:restriction base="dms:Text">
          <xsd:maxLength value="255"/>
        </xsd:restriction>
      </xsd:simpleType>
    </xsd:element>
    <xsd:element name="Bcc-Address" ma:index="31" nillable="true" ma:displayName="Bcc-Address" ma:description="Skip this property." ma:hidden="true" ma:internalName="Bcc_x002d_Address" ma:readOnly="false">
      <xsd:simpleType>
        <xsd:restriction base="dms:Text">
          <xsd:maxLength value="255"/>
        </xsd:restriction>
      </xsd:simpleType>
    </xsd:element>
    <xsd:element name="Bcc-Type" ma:index="32" nillable="true" ma:displayName="Bcc-Type" ma:description="Skip this property." ma:hidden="true" ma:internalName="Bcc_x002d_Type" ma:readOnly="false">
      <xsd:simpleType>
        <xsd:restriction base="dms:Text">
          <xsd:maxLength value="255"/>
        </xsd:restriction>
      </xsd:simpleType>
    </xsd:element>
    <xsd:element name="Cc" ma:index="33" nillable="true" ma:displayName="Cc" ma:description="Skip this property." ma:hidden="true" ma:internalName="Cc" ma:readOnly="false">
      <xsd:simpleType>
        <xsd:restriction base="dms:Text">
          <xsd:maxLength value="255"/>
        </xsd:restriction>
      </xsd:simpleType>
    </xsd:element>
    <xsd:element name="Cc-Address" ma:index="34" nillable="true" ma:displayName="Cc-Address" ma:description="Skip this property." ma:hidden="true" ma:internalName="Cc_x002d_Address" ma:readOnly="false">
      <xsd:simpleType>
        <xsd:restriction base="dms:Text">
          <xsd:maxLength value="255"/>
        </xsd:restriction>
      </xsd:simpleType>
    </xsd:element>
    <xsd:element name="Cc-Type" ma:index="35" nillable="true" ma:displayName="Cc-Type" ma:description="Skip this property." ma:hidden="true" ma:internalName="Cc_x002d_Type" ma:readOnly="false">
      <xsd:simpleType>
        <xsd:restriction base="dms:Text">
          <xsd:maxLength value="255"/>
        </xsd:restriction>
      </xsd:simpleType>
    </xsd:element>
    <xsd:element name="Conversation" ma:index="36" nillable="true" ma:displayName="Conversation" ma:description="Skip this property." ma:hidden="true" ma:internalName="Conversation" ma:readOnly="false">
      <xsd:simpleType>
        <xsd:restriction base="dms:Text">
          <xsd:maxLength value="255"/>
        </xsd:restriction>
      </xsd:simpleType>
    </xsd:element>
    <xsd:element name="Email_x0020_Categories" ma:index="37" nillable="true" ma:displayName="Email Categories" ma:description="Skip this property." ma:hidden="true" ma:internalName="Email_x0020_Categories" ma:readOnly="false">
      <xsd:simpleType>
        <xsd:restriction base="dms:Text">
          <xsd:maxLength value="255"/>
        </xsd:restriction>
      </xsd:simpleType>
    </xsd:element>
    <xsd:element name="Subject-Colligo" ma:index="38" nillable="true" ma:displayName="Email Subject" ma:description="Skip this property." ma:hidden="true" ma:internalName="Subject_x002d_Colligo" ma:readOnly="false">
      <xsd:simpleType>
        <xsd:restriction base="dms:Text">
          <xsd:maxLength value="255"/>
        </xsd:restriction>
      </xsd:simpleType>
    </xsd:element>
    <xsd:element name="From1" ma:index="39" nillable="true" ma:displayName="From" ma:description="Skip this property." ma:hidden="true" ma:internalName="From1" ma:readOnly="false">
      <xsd:simpleType>
        <xsd:restriction base="dms:Text">
          <xsd:maxLength value="255"/>
        </xsd:restriction>
      </xsd:simpleType>
    </xsd:element>
    <xsd:element name="From-Address" ma:index="40" nillable="true" ma:displayName="From-Address" ma:description="Skip this property." ma:hidden="true" ma:internalName="From_x002d_Address" ma:readOnly="false">
      <xsd:simpleType>
        <xsd:restriction base="dms:Text">
          <xsd:maxLength value="255"/>
        </xsd:restriction>
      </xsd:simpleType>
    </xsd:element>
    <xsd:element name="From-Type" ma:index="41" nillable="true" ma:displayName="From-Type" ma:description="Skip this property." ma:hidden="true" ma:internalName="From_x002d_Type" ma:readOnly="false">
      <xsd:simpleType>
        <xsd:restriction base="dms:Text">
          <xsd:maxLength value="255"/>
        </xsd:restriction>
      </xsd:simpleType>
    </xsd:element>
    <xsd:element name="Importance" ma:index="42" nillable="true" ma:displayName="Importance" ma:description="Skip this property." ma:hidden="true" ma:internalName="Importance" ma:readOnly="false" ma:percentage="FALSE">
      <xsd:simpleType>
        <xsd:restriction base="dms:Number"/>
      </xsd:simpleType>
    </xsd:element>
    <xsd:element name="Received" ma:index="43" nillable="true" ma:displayName="Received" ma:description="Skip this property." ma:format="DateTime" ma:hidden="true" ma:internalName="Received" ma:readOnly="false">
      <xsd:simpleType>
        <xsd:restriction base="dms:DateTime"/>
      </xsd:simpleType>
    </xsd:element>
    <xsd:element name="Received-UTC" ma:index="44" nillable="true" ma:displayName="Received-UTC" ma:description="Skip this property." ma:format="DateTime" ma:hidden="true" ma:internalName="Received_x002d_UTC" ma:readOnly="false">
      <xsd:simpleType>
        <xsd:restriction base="dms:DateTime"/>
      </xsd:simpleType>
    </xsd:element>
    <xsd:element name="Sensitivity" ma:index="45" nillable="true" ma:displayName="Sensitivity" ma:description="Skip this property." ma:hidden="true" ma:internalName="Sensitivity" ma:readOnly="false" ma:percentage="FALSE">
      <xsd:simpleType>
        <xsd:restriction base="dms:Number"/>
      </xsd:simpleType>
    </xsd:element>
    <xsd:element name="Sent" ma:index="46" nillable="true" ma:displayName="Sent" ma:description="Skip this property." ma:format="DateTime" ma:hidden="true" ma:internalName="Sent" ma:readOnly="false">
      <xsd:simpleType>
        <xsd:restriction base="dms:DateTime"/>
      </xsd:simpleType>
    </xsd:element>
    <xsd:element name="Sent-UTC" ma:index="47" nillable="true" ma:displayName="Sent-UTC" ma:description="Skip this property." ma:format="DateTime" ma:hidden="true" ma:internalName="Sent_x002d_UTC" ma:readOnly="false">
      <xsd:simpleType>
        <xsd:restriction base="dms:DateTime"/>
      </xsd:simpleType>
    </xsd:element>
    <xsd:element name="To" ma:index="48" nillable="true" ma:displayName="To" ma:description="Skip this property." ma:hidden="true" ma:internalName="To" ma:readOnly="false">
      <xsd:simpleType>
        <xsd:restriction base="dms:Text">
          <xsd:maxLength value="255"/>
        </xsd:restriction>
      </xsd:simpleType>
    </xsd:element>
    <xsd:element name="To-Address" ma:index="49" nillable="true" ma:displayName="To-Address" ma:description="Skip this property." ma:hidden="true" ma:internalName="To_x002d_Address" ma:readOnly="false">
      <xsd:simpleType>
        <xsd:restriction base="dms:Text">
          <xsd:maxLength value="255"/>
        </xsd:restriction>
      </xsd:simpleType>
    </xsd:element>
    <xsd:element name="To-Type" ma:index="50" nillable="true" ma:displayName="To-Type" ma:description="Skip this property." ma:hidden="true" ma:internalName="To_x002d_Type" ma:readOnly="false">
      <xsd:simpleType>
        <xsd:restriction base="dms:Text">
          <xsd:maxLength value="255"/>
        </xsd:restriction>
      </xsd:simpleType>
    </xsd:element>
    <xsd:element name="Attachment1" ma:index="51" nillable="true" ma:displayName="Attachment" ma:default="0" ma:description="Skip this property." ma:internalName="Attachment1" ma:readOnly="false">
      <xsd:simpleType>
        <xsd:restriction base="dms:Boolean"/>
      </xsd:simpleType>
    </xsd:element>
    <xsd:element name="kee7b7caa3ea449dbd889f35b480d01b" ma:index="53" nillable="true" ma:taxonomy="true" ma:internalName="kee7b7caa3ea449dbd889f35b480d01b" ma:taxonomyFieldName="Office_x0020_Location" ma:displayName="Office Location" ma:default="" ma:fieldId="{4ee7b7ca-a3ea-449d-bd88-9f35b480d01b}" ma:sspId="72071d1e-42f4-41cd-a76a-92fc8b7911e4" ma:termSetId="9c776c0b-7dde-4478-85ca-f413d7794ed3" ma:anchorId="00000000-0000-0000-0000-000000000000" ma:open="false" ma:isKeyword="false">
      <xsd:complexType>
        <xsd:sequence>
          <xsd:element ref="pc:Terms" minOccurs="0" maxOccurs="1"/>
        </xsd:sequence>
      </xsd:complexType>
    </xsd:element>
    <xsd:element name="l47e3f044f9a4df4a7582916cb983551" ma:index="55" nillable="true" ma:taxonomy="true" ma:internalName="l47e3f044f9a4df4a7582916cb983551" ma:taxonomyFieldName="Originating_x0020_Service_x0020_or_x0020_Program" ma:displayName="Originating Service or Program" ma:default="" ma:fieldId="{547e3f04-4f9a-4df4-a758-2916cb983551}" ma:sspId="72071d1e-42f4-41cd-a76a-92fc8b7911e4" ma:termSetId="3f3b56ce-d761-4423-bf69-87c911b9b678" ma:anchorId="00000000-0000-0000-0000-000000000000" ma:open="false" ma:isKeyword="false">
      <xsd:complexType>
        <xsd:sequence>
          <xsd:element ref="pc:Terms" minOccurs="0" maxOccurs="1"/>
        </xsd:sequence>
      </xsd:complexType>
    </xsd:element>
    <xsd:element name="Expiry_x0020_Date" ma:index="56" nillable="true" ma:displayName="Expiry Date" ma:format="DateOnly" ma:internalName="Expiry_x0020_Date">
      <xsd:simpleType>
        <xsd:restriction base="dms:DateTime"/>
      </xsd:simpleType>
    </xsd:element>
    <xsd:element name="Approval_x0020_Date" ma:index="57" nillable="true" ma:displayName="Approval Date" ma:format="DateOnly" ma:internalName="Approval_x0020_Date">
      <xsd:simpleType>
        <xsd:restriction base="dms:DateTime"/>
      </xsd:simpleType>
    </xsd:element>
    <xsd:element name="Case_x0020_ID" ma:index="58" nillable="true" ma:displayName="Case ID" ma:internalName="Case_x0020_ID">
      <xsd:simpleType>
        <xsd:restriction base="dms:Text">
          <xsd:maxLength value="255"/>
        </xsd:restriction>
      </xsd:simpleType>
    </xsd:element>
    <xsd:element name="Cycle_x0020_or_x0020_Term" ma:index="59" nillable="true" ma:displayName="Cycle or Term" ma:internalName="Cycle_x0020_or_x0020_Term">
      <xsd:simpleType>
        <xsd:restriction base="dms:Text">
          <xsd:maxLength value="255"/>
        </xsd:restriction>
      </xsd:simpleType>
    </xsd:element>
    <xsd:element name="la8f40328fe54900b785a8eb2d16e05e" ma:index="60" nillable="true" ma:taxonomy="true" ma:internalName="la8f40328fe54900b785a8eb2d16e05e" ma:taxonomyFieldName="Project_x0020_or_x0020_Campaign" ma:displayName="Project or Campaign" ma:default="" ma:fieldId="{5a8f4032-8fe5-4900-b785-a8eb2d16e05e}" ma:sspId="72071d1e-42f4-41cd-a76a-92fc8b7911e4" ma:termSetId="c467e74e-ae96-4be2-99c0-de05cbd5a79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a7b7c4-2425-4b90-bda5-b990a11b1754" elementFormDefault="qualified">
    <xsd:import namespace="http://schemas.microsoft.com/office/2006/documentManagement/types"/>
    <xsd:import namespace="http://schemas.microsoft.com/office/infopath/2007/PartnerControls"/>
    <xsd:element name="CWRMItemUniqueId" ma:index="11" nillable="true" ma:displayName="Content ID" ma:description="A universally unique identifier assigned to the item." ma:hidden="true" ma:internalName="CWRMItemUniqueId" ma:readOnly="true">
      <xsd:simpleType>
        <xsd:restriction base="dms:Text"/>
      </xsd:simpleType>
    </xsd:element>
    <xsd:element name="CWRMItemRecordState" ma:index="12" nillable="true" ma:displayName="Record State" ma:description="The current state of this item as it pertains to records management." ma:hidden="true" ma:internalName="CWRMItemRecordState" ma:readOnly="true">
      <xsd:simpleType>
        <xsd:restriction base="dms:Text"/>
      </xsd:simpleType>
    </xsd:element>
    <xsd:element name="CWRMItemRecordCategory" ma:index="13" nillable="true" ma:displayName="Record Category" ma:description="Identifies the current record category for the item." ma:hidden="true" ma:internalName="CWRMItemRecordCategory" ma:readOnly="true">
      <xsd:simpleType>
        <xsd:restriction base="dms:Text"/>
      </xsd:simpleType>
    </xsd:element>
    <xsd:element name="CWRMItemRecordClassificationTaxHTField0" ma:index="14" nillable="true" ma:taxonomy="true" ma:internalName="CWRMItemRecordClassificationTaxHTField0" ma:taxonomyFieldName="CWRMItemRecordClassification" ma:displayName="Record Classification" ma:default="" ma:fieldId="{e94be97f-fb02-4deb-9c3d-6d978a059d35}" ma:sspId="72071d1e-42f4-41cd-a76a-92fc8b7911e4" ma:termSetId="623f1661-02cc-45b2-bd33-576a715c0c9d" ma:anchorId="00000000-0000-0000-0000-000000000000" ma:open="false" ma:isKeyword="false">
      <xsd:complexType>
        <xsd:sequence>
          <xsd:element ref="pc:Terms" minOccurs="0" maxOccurs="1"/>
        </xsd:sequence>
      </xsd:complexType>
    </xsd:element>
    <xsd:element name="CWRMItemRecordStatus" ma:index="18" nillable="true" ma:displayName="Record Status" ma:description="The current status of this item as it pertains to records management." ma:hidden="true" ma:internalName="CWRMItemRecordStatus" ma:readOnly="true">
      <xsd:simpleType>
        <xsd:restriction base="dms:Text"/>
      </xsd:simpleType>
    </xsd:element>
    <xsd:element name="CWRMItemRecordDeclaredDate" ma:index="19" nillable="true" ma:displayName="Record Declared Date" ma:description="The date and time that the item was declared a record." ma:hidden="true" ma:internalName="CWRMItemRecordDeclaredDate" ma:readOnly="true">
      <xsd:simpleType>
        <xsd:restriction base="dms:DateTime"/>
      </xsd:simpleType>
    </xsd:element>
    <xsd:element name="CWRMItemRecordVital" ma:index="20" nillable="true" ma:displayName="Record Vital" ma:description="Indicates if this item is considered vital to the organization." ma:hidden="true" ma:internalName="CWRMItemRecordVital" ma:readOnly="true">
      <xsd:simpleType>
        <xsd:restriction base="dms:Boolean"/>
      </xsd:simpleType>
    </xsd:element>
    <xsd:element name="CWRMItemRecordData" ma:index="21" nillable="true" ma:displayName="Record Data" ma:description="Contains system specific record data for the item." ma:hidden="true" ma:internalName="CWRMItemRecord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7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2071d1e-42f4-41cd-a76a-92fc8b7911e4" ContentTypeId="0x010100F382F9BFB399FD4699E65B7221A51A440207"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Collabware CLM Item Unique ID</Name>
    <Synchronization>Synchronous</Synchronization>
    <Type>1</Type>
    <SequenceNumber>1</SequenceNumber>
    <Url/>
    <Assembly>Collabware.SharePoint.RecordsManagement, Version=1.0.0.0, Culture=neutral, PublicKeyToken=801662d3f2b71412</Assembly>
    <Class>Collabware.SharePoint.RecordsManagement.ItemUniqueIdContentTypeReceiver</Class>
    <Data/>
    <Filter/>
  </Receiver>
  <Receiver>
    <Name>Collabware CLM Item Processing</Name>
    <Synchronization>Synchronous</Synchronization>
    <Type>10001</Type>
    <SequenceNumber>12000</SequenceNumber>
    <Url/>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10002</Type>
    <SequenceNumber>12001</SequenceNumber>
    <Url/>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10004</Type>
    <SequenceNumber>12002</SequenceNumber>
    <Url/>
    <Assembly>Collabware.SharePoint.RecordsManagement, Version=1.0.0.0, Culture=neutral, PublicKeyToken=801662d3f2b71412</Assembly>
    <Class>Collabware.SharePoint.RecordsManagement.ItemProcessingContentTypeReceiver</Class>
    <Data/>
    <Filter/>
  </Receiver>
  <Receiver>
    <Name>Collabware CLM Item Audit</Name>
    <Synchronization>Asynchronous</Synchronization>
    <Type>10001</Type>
    <SequenceNumber>11000</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10002</Type>
    <SequenceNumber>11001</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10005</Type>
    <SequenceNumber>11002</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10006</Type>
    <SequenceNumber>11003</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10004</Type>
    <SequenceNumber>11004</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Synchronous</Synchronization>
    <Type>3</Type>
    <SequenceNumber>11005</SequenceNumber>
    <Url/>
    <Assembly>Collabware.SharePoint.RecordsManagement, Version=1.0.0.0, Culture=neutral, PublicKeyToken=801662d3f2b71412</Assembly>
    <Class>Collabware.SharePoint.RecordsManagement.ItemAuditContentTypeReceiver</Class>
    <Data/>
    <Filter/>
  </Receiver>
  <Receiver>
    <Name>Collabware CLM Item Security</Name>
    <Synchronization>Asynchronous</Synchronization>
    <Type>10002</Type>
    <SequenceNumber>13000</SequenceNumber>
    <Url/>
    <Assembly>Collabware.SharePoint.RecordsManagement, Version=1.0.0.0, Culture=neutral, PublicKeyToken=801662d3f2b71412</Assembly>
    <Class>Collabware.SharePoint.RecordsManagement.ItemSecurityContentTypeReceiver</Class>
    <Data/>
    <Filter/>
  </Receiver>
</spe:Receivers>
</file>

<file path=customXml/itemProps1.xml><?xml version="1.0" encoding="utf-8"?>
<ds:datastoreItem xmlns:ds="http://schemas.openxmlformats.org/officeDocument/2006/customXml" ds:itemID="{E76C686B-3047-4A11-ACC2-F4EC1456E81B}">
  <ds:schemaRefs>
    <ds:schemaRef ds:uri="http://schemas.microsoft.com/DataMashup"/>
  </ds:schemaRefs>
</ds:datastoreItem>
</file>

<file path=customXml/itemProps2.xml><?xml version="1.0" encoding="utf-8"?>
<ds:datastoreItem xmlns:ds="http://schemas.openxmlformats.org/officeDocument/2006/customXml" ds:itemID="{D27C08D0-43AA-41BA-A22B-66FCC103E3A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sharepoint/v4"/>
    <ds:schemaRef ds:uri="http://schemas.openxmlformats.org/package/2006/metadata/core-properties"/>
    <ds:schemaRef ds:uri="23a7b7c4-2425-4b90-bda5-b990a11b1754"/>
    <ds:schemaRef ds:uri="http://schemas.microsoft.com/office/2006/metadata/properties"/>
    <ds:schemaRef ds:uri="http://schemas.microsoft.com/sharepoint/v3"/>
    <ds:schemaRef ds:uri="1bfa0af9-9ac9-4b51-8ade-5c105135c4b4"/>
    <ds:schemaRef ds:uri="http://www.w3.org/XML/1998/namespace"/>
    <ds:schemaRef ds:uri="http://purl.org/dc/terms/"/>
  </ds:schemaRefs>
</ds:datastoreItem>
</file>

<file path=customXml/itemProps3.xml><?xml version="1.0" encoding="utf-8"?>
<ds:datastoreItem xmlns:ds="http://schemas.openxmlformats.org/officeDocument/2006/customXml" ds:itemID="{2225E2F9-113F-494B-AB09-251507719C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fa0af9-9ac9-4b51-8ade-5c105135c4b4"/>
    <ds:schemaRef ds:uri="23a7b7c4-2425-4b90-bda5-b990a11b175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935724-C73C-46AA-9630-1C88E3880CB8}">
  <ds:schemaRefs>
    <ds:schemaRef ds:uri="Microsoft.SharePoint.Taxonomy.ContentTypeSync"/>
  </ds:schemaRefs>
</ds:datastoreItem>
</file>

<file path=customXml/itemProps5.xml><?xml version="1.0" encoding="utf-8"?>
<ds:datastoreItem xmlns:ds="http://schemas.openxmlformats.org/officeDocument/2006/customXml" ds:itemID="{43C47D39-7D7C-462F-99DE-681AD3EE22D3}">
  <ds:schemaRefs>
    <ds:schemaRef ds:uri="http://schemas.microsoft.com/sharepoint/v3/contenttype/forms"/>
  </ds:schemaRefs>
</ds:datastoreItem>
</file>

<file path=customXml/itemProps6.xml><?xml version="1.0" encoding="utf-8"?>
<ds:datastoreItem xmlns:ds="http://schemas.openxmlformats.org/officeDocument/2006/customXml" ds:itemID="{99D359A4-2908-4273-9699-D595588D0D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32</vt:i4>
      </vt:variant>
    </vt:vector>
  </HeadingPairs>
  <TitlesOfParts>
    <vt:vector size="45" baseType="lpstr">
      <vt:lpstr>Data Validations</vt:lpstr>
      <vt:lpstr>Conditional Formatting</vt:lpstr>
      <vt:lpstr>Lookups</vt:lpstr>
      <vt:lpstr>INSTRUCTIONS</vt:lpstr>
      <vt:lpstr>Basic Information</vt:lpstr>
      <vt:lpstr>Line List</vt:lpstr>
      <vt:lpstr>Outbreak Checklist</vt:lpstr>
      <vt:lpstr>iPHIS Outbreak Report</vt:lpstr>
      <vt:lpstr>Summary P1</vt:lpstr>
      <vt:lpstr>Summary P2</vt:lpstr>
      <vt:lpstr>Summary P3</vt:lpstr>
      <vt:lpstr>Summary P4</vt:lpstr>
      <vt:lpstr>Data Prep</vt:lpstr>
      <vt:lpstr>Affected</vt:lpstr>
      <vt:lpstr>Contact</vt:lpstr>
      <vt:lpstr>Control_Measures</vt:lpstr>
      <vt:lpstr>Declared</vt:lpstr>
      <vt:lpstr>Extension</vt:lpstr>
      <vt:lpstr>Institution</vt:lpstr>
      <vt:lpstr>Lead</vt:lpstr>
      <vt:lpstr>MaxDay0</vt:lpstr>
      <vt:lpstr>MaxIsolation</vt:lpstr>
      <vt:lpstr>MaxLDW</vt:lpstr>
      <vt:lpstr>Name</vt:lpstr>
      <vt:lpstr>Number</vt:lpstr>
      <vt:lpstr>Organism</vt:lpstr>
      <vt:lpstr>Organism2</vt:lpstr>
      <vt:lpstr>Organism3</vt:lpstr>
      <vt:lpstr>Origin_Spread</vt:lpstr>
      <vt:lpstr>Outbreak_Summary</vt:lpstr>
      <vt:lpstr>Over</vt:lpstr>
      <vt:lpstr>Phone</vt:lpstr>
      <vt:lpstr>'Summary P1'!Print_Area</vt:lpstr>
      <vt:lpstr>'Summary P2'!Print_Area</vt:lpstr>
      <vt:lpstr>'Summary P3'!Print_Area</vt:lpstr>
      <vt:lpstr>'Summary P4'!Print_Area</vt:lpstr>
      <vt:lpstr>'Line List'!Print_Titles</vt:lpstr>
      <vt:lpstr>Recommendations</vt:lpstr>
      <vt:lpstr>Reported</vt:lpstr>
      <vt:lpstr>Symptomology</vt:lpstr>
      <vt:lpstr>Total_Residents_Oth</vt:lpstr>
      <vt:lpstr>Total_Residents_Vax</vt:lpstr>
      <vt:lpstr>Total_Staff_Oth</vt:lpstr>
      <vt:lpstr>Total_Staff_Vax</vt:lpstr>
      <vt:lpstr>Updated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Outbreak_Line_List_FACILITY</dc:title>
  <dc:creator>Virginia McFarland</dc:creator>
  <cp:lastModifiedBy>Jennifer Graffi</cp:lastModifiedBy>
  <cp:lastPrinted>2023-01-27T15:23:17Z</cp:lastPrinted>
  <dcterms:created xsi:type="dcterms:W3CDTF">2022-02-11T14:11:03Z</dcterms:created>
  <dcterms:modified xsi:type="dcterms:W3CDTF">2025-04-10T11:47:32Z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/sites/SDHU/outbreaks/Respiratory_Outbreaks</vt:lpwstr>
  </property>
  <property fmtid="{D5CDD505-2E9C-101B-9397-08002B2CF9AE}" pid="3" name="ContentTypeId">
    <vt:lpwstr>0x010100F382F9BFB399FD4699E65B7221A51A4402070085BDEECD0EAE414992FFACA2940D2D45</vt:lpwstr>
  </property>
  <property fmtid="{D5CDD505-2E9C-101B-9397-08002B2CF9AE}" pid="4" name="Originating Service or Program">
    <vt:lpwstr>4372;#Health Protection|36894b41-6f36-4a21-88ab-9f60829aa06a</vt:lpwstr>
  </property>
  <property fmtid="{D5CDD505-2E9C-101B-9397-08002B2CF9AE}" pid="5" name="ItemRetentionFormula">
    <vt:lpwstr/>
  </property>
  <property fmtid="{D5CDD505-2E9C-101B-9397-08002B2CF9AE}" pid="6" name="_dlc_DocIdItemGuid">
    <vt:lpwstr>eec7d0c3-e46e-4a5d-aa17-15f4451c510c</vt:lpwstr>
  </property>
  <property fmtid="{D5CDD505-2E9C-101B-9397-08002B2CF9AE}" pid="7" name="CWRMItemRecordClassification">
    <vt:lpwstr>2107;#Outbreaks|815464f7-df55-43ff-b541-900d46ba7f06</vt:lpwstr>
  </property>
  <property fmtid="{D5CDD505-2E9C-101B-9397-08002B2CF9AE}" pid="8" name="Office Location">
    <vt:lpwstr/>
  </property>
  <property fmtid="{D5CDD505-2E9C-101B-9397-08002B2CF9AE}" pid="9" name="Project or Campaign">
    <vt:lpwstr/>
  </property>
  <property fmtid="{D5CDD505-2E9C-101B-9397-08002B2CF9AE}" pid="10" name="Document Status">
    <vt:lpwstr>1;#Draft|81d28fdf-732b-4ed1-b198-fde72d06308e</vt:lpwstr>
  </property>
  <property fmtid="{D5CDD505-2E9C-101B-9397-08002B2CF9AE}" pid="11" name="Topics">
    <vt:lpwstr/>
  </property>
  <property fmtid="{D5CDD505-2E9C-101B-9397-08002B2CF9AE}" pid="12" name="Responsible Service or Program">
    <vt:lpwstr>4372;#Health Protection|36894b41-6f36-4a21-88ab-9f60829aa06a</vt:lpwstr>
  </property>
  <property fmtid="{D5CDD505-2E9C-101B-9397-08002B2CF9AE}" pid="13" name="Document Type">
    <vt:lpwstr>119;#Template|3170e4b8-b897-487c-b6c0-96cd443ff338</vt:lpwstr>
  </property>
</Properties>
</file>